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ulrichnissen/Documents/Relevante Basisdateien 2013ff 2/Vorträge/Webinar_GUTcert_2022/"/>
    </mc:Choice>
  </mc:AlternateContent>
  <xr:revisionPtr revIDLastSave="0" documentId="13_ncr:1_{7785B207-0243-A54B-A0A0-6FB820CC6A0B}" xr6:coauthVersionLast="47" xr6:coauthVersionMax="47" xr10:uidLastSave="{00000000-0000-0000-0000-000000000000}"/>
  <bookViews>
    <workbookView xWindow="0" yWindow="500" windowWidth="44140" windowHeight="25440" xr2:uid="{00000000-000D-0000-FFFF-FFFF00000000}"/>
  </bookViews>
  <sheets>
    <sheet name="KW-Tablea für EnSimiMaV" sheetId="1" r:id="rId1"/>
    <sheet name="Beispiel 1 komplett" sheetId="2" r:id="rId2"/>
    <sheet name="Beispiel 2 komplett" sheetId="3" r:id="rId3"/>
    <sheet name="Berich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9" i="3" l="1"/>
  <c r="C98" i="3"/>
  <c r="C97" i="3"/>
  <c r="D95" i="3"/>
  <c r="AC91" i="3"/>
  <c r="AB91" i="3"/>
  <c r="Z91" i="3"/>
  <c r="Y91" i="3"/>
  <c r="X91" i="3"/>
  <c r="W91" i="3"/>
  <c r="V91" i="3"/>
  <c r="U91" i="3"/>
  <c r="T91" i="3"/>
  <c r="R91" i="3"/>
  <c r="Q91" i="3"/>
  <c r="P91" i="3"/>
  <c r="O91" i="3"/>
  <c r="N91" i="3"/>
  <c r="M91" i="3"/>
  <c r="L91" i="3"/>
  <c r="J91" i="3"/>
  <c r="I91" i="3"/>
  <c r="H91" i="3"/>
  <c r="G91" i="3"/>
  <c r="F91" i="3"/>
  <c r="E91" i="3"/>
  <c r="D91" i="3"/>
  <c r="C90" i="3"/>
  <c r="AA91" i="3" s="1"/>
  <c r="C87" i="3"/>
  <c r="C86" i="3"/>
  <c r="D78" i="3"/>
  <c r="B78" i="3"/>
  <c r="B99" i="3" s="1"/>
  <c r="C77" i="3"/>
  <c r="C76" i="3"/>
  <c r="D74" i="3"/>
  <c r="B74" i="3"/>
  <c r="B95" i="3" s="1"/>
  <c r="AC70" i="3"/>
  <c r="AB70" i="3"/>
  <c r="Z70" i="3"/>
  <c r="Y70" i="3"/>
  <c r="W70" i="3"/>
  <c r="V70" i="3"/>
  <c r="U70" i="3"/>
  <c r="T70" i="3"/>
  <c r="R70" i="3"/>
  <c r="Q70" i="3"/>
  <c r="O70" i="3"/>
  <c r="N70" i="3"/>
  <c r="M70" i="3"/>
  <c r="L70" i="3"/>
  <c r="J70" i="3"/>
  <c r="I70" i="3"/>
  <c r="G70" i="3"/>
  <c r="F70" i="3"/>
  <c r="E70" i="3"/>
  <c r="D70" i="3"/>
  <c r="C69" i="3"/>
  <c r="AA70" i="3" s="1"/>
  <c r="C66" i="3"/>
  <c r="C65" i="3"/>
  <c r="D56" i="3"/>
  <c r="B55" i="3"/>
  <c r="B77" i="3" s="1"/>
  <c r="B98" i="3" s="1"/>
  <c r="V54" i="3"/>
  <c r="N54" i="3"/>
  <c r="F54" i="3"/>
  <c r="B54" i="3"/>
  <c r="B76" i="3" s="1"/>
  <c r="B97" i="3" s="1"/>
  <c r="D52" i="3"/>
  <c r="B51" i="3"/>
  <c r="B73" i="3" s="1"/>
  <c r="B94" i="3" s="1"/>
  <c r="B50" i="3"/>
  <c r="B72" i="3" s="1"/>
  <c r="B93" i="3" s="1"/>
  <c r="AC48" i="3"/>
  <c r="AB48" i="3"/>
  <c r="Y48" i="3"/>
  <c r="X48" i="3"/>
  <c r="V48" i="3"/>
  <c r="U48" i="3"/>
  <c r="T48" i="3"/>
  <c r="Q48" i="3"/>
  <c r="P48" i="3"/>
  <c r="N48" i="3"/>
  <c r="M48" i="3"/>
  <c r="L48" i="3"/>
  <c r="I48" i="3"/>
  <c r="H48" i="3"/>
  <c r="F48" i="3"/>
  <c r="E48" i="3"/>
  <c r="D48" i="3"/>
  <c r="C47" i="3"/>
  <c r="AA48" i="3" s="1"/>
  <c r="C46" i="3"/>
  <c r="C68" i="3" s="1"/>
  <c r="C89" i="3" s="1"/>
  <c r="C45" i="3"/>
  <c r="C67" i="3" s="1"/>
  <c r="C88" i="3" s="1"/>
  <c r="C44" i="3"/>
  <c r="C43" i="3"/>
  <c r="C33" i="3"/>
  <c r="C55" i="3" s="1"/>
  <c r="C32" i="3"/>
  <c r="C54" i="3" s="1"/>
  <c r="C21" i="3"/>
  <c r="E24" i="3" s="1"/>
  <c r="E37" i="3" s="1"/>
  <c r="C85" i="3" s="1"/>
  <c r="I16" i="3"/>
  <c r="I15" i="3"/>
  <c r="I14" i="3"/>
  <c r="L13" i="3"/>
  <c r="Y77" i="3" s="1"/>
  <c r="I13" i="3"/>
  <c r="I12" i="3"/>
  <c r="I11" i="3"/>
  <c r="C30" i="3" s="1"/>
  <c r="I10" i="3"/>
  <c r="I9" i="3"/>
  <c r="I8" i="3"/>
  <c r="I7" i="3"/>
  <c r="H7" i="3"/>
  <c r="P88" i="2"/>
  <c r="AG87" i="2"/>
  <c r="AE87" i="2"/>
  <c r="T87" i="2"/>
  <c r="R87" i="2"/>
  <c r="R89" i="2" s="1"/>
  <c r="R90" i="2" s="1"/>
  <c r="AN86" i="2"/>
  <c r="AM86" i="2"/>
  <c r="AK86" i="2"/>
  <c r="AJ86" i="2"/>
  <c r="AH86" i="2"/>
  <c r="AF86" i="2"/>
  <c r="AE86" i="2"/>
  <c r="AB86" i="2"/>
  <c r="Z86" i="2"/>
  <c r="X86" i="2"/>
  <c r="W86" i="2"/>
  <c r="U86" i="2"/>
  <c r="T86" i="2"/>
  <c r="R86" i="2"/>
  <c r="O86" i="2"/>
  <c r="O83" i="2"/>
  <c r="P83" i="2" s="1"/>
  <c r="O82" i="2"/>
  <c r="P82" i="2" s="1"/>
  <c r="AO80" i="2"/>
  <c r="AN80" i="2"/>
  <c r="AL80" i="2"/>
  <c r="AJ80" i="2"/>
  <c r="AI80" i="2"/>
  <c r="AH80" i="2"/>
  <c r="AG80" i="2"/>
  <c r="AF80" i="2"/>
  <c r="AD80" i="2"/>
  <c r="AB80" i="2"/>
  <c r="AA80" i="2"/>
  <c r="Z80" i="2"/>
  <c r="Y80" i="2"/>
  <c r="X80" i="2"/>
  <c r="V80" i="2"/>
  <c r="T80" i="2"/>
  <c r="T89" i="2" s="1"/>
  <c r="T90" i="2" s="1"/>
  <c r="S80" i="2"/>
  <c r="R80" i="2"/>
  <c r="Q80" i="2"/>
  <c r="P80" i="2"/>
  <c r="O79" i="2"/>
  <c r="AM80" i="2" s="1"/>
  <c r="O77" i="2"/>
  <c r="Z87" i="2" s="1"/>
  <c r="O76" i="2"/>
  <c r="O75" i="2"/>
  <c r="AK69" i="2"/>
  <c r="AK70" i="2" s="1"/>
  <c r="P68" i="2"/>
  <c r="O68" i="2"/>
  <c r="O88" i="2" s="1"/>
  <c r="N68" i="2"/>
  <c r="N88" i="2" s="1"/>
  <c r="AO67" i="2"/>
  <c r="AL67" i="2"/>
  <c r="AK67" i="2"/>
  <c r="AJ67" i="2"/>
  <c r="AI67" i="2"/>
  <c r="AH67" i="2"/>
  <c r="AG67" i="2"/>
  <c r="AD67" i="2"/>
  <c r="AC67" i="2"/>
  <c r="AB67" i="2"/>
  <c r="AA67" i="2"/>
  <c r="Z67" i="2"/>
  <c r="Y67" i="2"/>
  <c r="V67" i="2"/>
  <c r="U67" i="2"/>
  <c r="T67" i="2"/>
  <c r="S67" i="2"/>
  <c r="R67" i="2"/>
  <c r="Q67" i="2"/>
  <c r="O67" i="2"/>
  <c r="O87" i="2" s="1"/>
  <c r="AO87" i="2" s="1"/>
  <c r="N67" i="2"/>
  <c r="N87" i="2" s="1"/>
  <c r="AM66" i="2"/>
  <c r="AL66" i="2"/>
  <c r="AK66" i="2"/>
  <c r="AJ66" i="2"/>
  <c r="AE66" i="2"/>
  <c r="AD66" i="2"/>
  <c r="AC66" i="2"/>
  <c r="AC69" i="2" s="1"/>
  <c r="AC70" i="2" s="1"/>
  <c r="AB66" i="2"/>
  <c r="AB69" i="2" s="1"/>
  <c r="AB70" i="2" s="1"/>
  <c r="W66" i="2"/>
  <c r="V66" i="2"/>
  <c r="U66" i="2"/>
  <c r="U69" i="2" s="1"/>
  <c r="U70" i="2" s="1"/>
  <c r="T66" i="2"/>
  <c r="T69" i="2" s="1"/>
  <c r="T70" i="2" s="1"/>
  <c r="O66" i="2"/>
  <c r="AI66" i="2" s="1"/>
  <c r="N66" i="2"/>
  <c r="N86" i="2" s="1"/>
  <c r="O64" i="2"/>
  <c r="O84" i="2" s="1"/>
  <c r="P84" i="2" s="1"/>
  <c r="N64" i="2"/>
  <c r="N84" i="2" s="1"/>
  <c r="P63" i="2"/>
  <c r="O63" i="2"/>
  <c r="N63" i="2"/>
  <c r="N83" i="2" s="1"/>
  <c r="O62" i="2"/>
  <c r="P62" i="2" s="1"/>
  <c r="N62" i="2"/>
  <c r="N82" i="2" s="1"/>
  <c r="AO60" i="2"/>
  <c r="AN60" i="2"/>
  <c r="AK60" i="2"/>
  <c r="AJ60" i="2"/>
  <c r="AJ69" i="2" s="1"/>
  <c r="AJ70" i="2" s="1"/>
  <c r="AI60" i="2"/>
  <c r="AH60" i="2"/>
  <c r="AG60" i="2"/>
  <c r="AF60" i="2"/>
  <c r="AC60" i="2"/>
  <c r="AB60" i="2"/>
  <c r="AA60" i="2"/>
  <c r="Z60" i="2"/>
  <c r="Y60" i="2"/>
  <c r="X60" i="2"/>
  <c r="U60" i="2"/>
  <c r="T60" i="2"/>
  <c r="S60" i="2"/>
  <c r="R60" i="2"/>
  <c r="Q60" i="2"/>
  <c r="P60" i="2"/>
  <c r="O59" i="2"/>
  <c r="AM60" i="2" s="1"/>
  <c r="O57" i="2"/>
  <c r="O56" i="2"/>
  <c r="O55" i="2"/>
  <c r="P47" i="2"/>
  <c r="AL46" i="2"/>
  <c r="AD46" i="2"/>
  <c r="V46" i="2"/>
  <c r="O45" i="2"/>
  <c r="AL45" i="2" s="1"/>
  <c r="P43" i="2"/>
  <c r="P42" i="2"/>
  <c r="O41" i="2"/>
  <c r="P41" i="2" s="1"/>
  <c r="AL39" i="2"/>
  <c r="AL48" i="2" s="1"/>
  <c r="AL49" i="2" s="1"/>
  <c r="AK39" i="2"/>
  <c r="AD39" i="2"/>
  <c r="AC39" i="2"/>
  <c r="V39" i="2"/>
  <c r="U39" i="2"/>
  <c r="O38" i="2"/>
  <c r="AJ39" i="2" s="1"/>
  <c r="O36" i="2"/>
  <c r="AK46" i="2" s="1"/>
  <c r="O35" i="2"/>
  <c r="W45" i="2" s="1"/>
  <c r="O34" i="2"/>
  <c r="O18" i="2"/>
  <c r="Q21" i="2" s="1"/>
  <c r="H13" i="2"/>
  <c r="I12" i="2"/>
  <c r="H12" i="2"/>
  <c r="H11" i="2"/>
  <c r="I10" i="2"/>
  <c r="H10" i="2"/>
  <c r="I9" i="2"/>
  <c r="H9" i="2"/>
  <c r="I8" i="2"/>
  <c r="H8" i="2"/>
  <c r="I7" i="2"/>
  <c r="H7" i="2"/>
  <c r="I6" i="2"/>
  <c r="H6" i="2"/>
  <c r="I5" i="2"/>
  <c r="H5" i="2"/>
  <c r="B16" i="1"/>
  <c r="B17" i="1" s="1"/>
  <c r="F14" i="1"/>
  <c r="F16" i="1" s="1"/>
  <c r="F17" i="1" s="1"/>
  <c r="E14" i="1"/>
  <c r="E16" i="1" s="1"/>
  <c r="E17" i="1" s="1"/>
  <c r="L10" i="1"/>
  <c r="L14" i="1" s="1"/>
  <c r="L16" i="1" s="1"/>
  <c r="L17" i="1" s="1"/>
  <c r="K10" i="1"/>
  <c r="K14" i="1" s="1"/>
  <c r="K16" i="1" s="1"/>
  <c r="K17" i="1" s="1"/>
  <c r="J10" i="1"/>
  <c r="J14" i="1" s="1"/>
  <c r="J16" i="1" s="1"/>
  <c r="J17" i="1" s="1"/>
  <c r="I10" i="1"/>
  <c r="I14" i="1" s="1"/>
  <c r="I16" i="1" s="1"/>
  <c r="I17" i="1" s="1"/>
  <c r="H10" i="1"/>
  <c r="H14" i="1" s="1"/>
  <c r="H16" i="1" s="1"/>
  <c r="H17" i="1" s="1"/>
  <c r="G10" i="1"/>
  <c r="G14" i="1" s="1"/>
  <c r="G16" i="1" s="1"/>
  <c r="G17" i="1" s="1"/>
  <c r="F10" i="1"/>
  <c r="E10" i="1"/>
  <c r="D10" i="1"/>
  <c r="D14" i="1" s="1"/>
  <c r="D16" i="1" s="1"/>
  <c r="D17" i="1" s="1"/>
  <c r="C10" i="1"/>
  <c r="C14" i="1" s="1"/>
  <c r="C16" i="1" s="1"/>
  <c r="B8" i="1"/>
  <c r="P89" i="2" l="1"/>
  <c r="P90" i="2" s="1"/>
  <c r="Z89" i="2"/>
  <c r="Z90" i="2" s="1"/>
  <c r="S69" i="2"/>
  <c r="S70" i="2" s="1"/>
  <c r="AO69" i="2"/>
  <c r="AO70" i="2" s="1"/>
  <c r="AH89" i="2"/>
  <c r="AH90" i="2" s="1"/>
  <c r="AI69" i="2"/>
  <c r="AI70" i="2" s="1"/>
  <c r="B22" i="1"/>
  <c r="C17" i="1"/>
  <c r="I18" i="1" s="1"/>
  <c r="U48" i="2"/>
  <c r="U49" i="2" s="1"/>
  <c r="F20" i="1"/>
  <c r="J18" i="1"/>
  <c r="B18" i="1"/>
  <c r="J20" i="1"/>
  <c r="B19" i="1"/>
  <c r="E20" i="1"/>
  <c r="F21" i="1" s="1"/>
  <c r="L18" i="1"/>
  <c r="C20" i="1"/>
  <c r="B20" i="1"/>
  <c r="C21" i="1" s="1"/>
  <c r="B21" i="1" s="1"/>
  <c r="W55" i="3"/>
  <c r="O55" i="3"/>
  <c r="G55" i="3"/>
  <c r="V55" i="3"/>
  <c r="N55" i="3"/>
  <c r="F55" i="3"/>
  <c r="AC55" i="3"/>
  <c r="U55" i="3"/>
  <c r="M55" i="3"/>
  <c r="E55" i="3"/>
  <c r="AB55" i="3"/>
  <c r="T55" i="3"/>
  <c r="L55" i="3"/>
  <c r="AA55" i="3"/>
  <c r="S55" i="3"/>
  <c r="K55" i="3"/>
  <c r="Z55" i="3"/>
  <c r="R55" i="3"/>
  <c r="J55" i="3"/>
  <c r="Y55" i="3"/>
  <c r="Q55" i="3"/>
  <c r="I55" i="3"/>
  <c r="X55" i="3"/>
  <c r="P55" i="3"/>
  <c r="H55" i="3"/>
  <c r="AF45" i="2"/>
  <c r="AM46" i="2"/>
  <c r="P21" i="2"/>
  <c r="W39" i="2"/>
  <c r="W48" i="2" s="1"/>
  <c r="W49" i="2" s="1"/>
  <c r="AM39" i="2"/>
  <c r="AM48" i="2" s="1"/>
  <c r="AM49" i="2" s="1"/>
  <c r="Y45" i="2"/>
  <c r="AG45" i="2"/>
  <c r="AO45" i="2"/>
  <c r="P64" i="2"/>
  <c r="P69" i="2" s="1"/>
  <c r="P70" i="2" s="1"/>
  <c r="U87" i="2"/>
  <c r="AH87" i="2"/>
  <c r="AM45" i="2"/>
  <c r="O21" i="2"/>
  <c r="X45" i="2"/>
  <c r="AE46" i="2"/>
  <c r="Q45" i="2"/>
  <c r="AF39" i="2"/>
  <c r="W87" i="2"/>
  <c r="AJ87" i="2"/>
  <c r="AJ89" i="2" s="1"/>
  <c r="AJ90" i="2" s="1"/>
  <c r="C28" i="3"/>
  <c r="AE45" i="2"/>
  <c r="W46" i="2"/>
  <c r="X46" i="2"/>
  <c r="X39" i="2"/>
  <c r="X48" i="2" s="1"/>
  <c r="X49" i="2" s="1"/>
  <c r="AH45" i="2"/>
  <c r="W97" i="3"/>
  <c r="O97" i="3"/>
  <c r="G97" i="3"/>
  <c r="N97" i="3"/>
  <c r="F97" i="3"/>
  <c r="AC97" i="3"/>
  <c r="U97" i="3"/>
  <c r="M97" i="3"/>
  <c r="E97" i="3"/>
  <c r="AA97" i="3"/>
  <c r="S97" i="3"/>
  <c r="K97" i="3"/>
  <c r="Z97" i="3"/>
  <c r="R97" i="3"/>
  <c r="J97" i="3"/>
  <c r="Y97" i="3"/>
  <c r="Q97" i="3"/>
  <c r="I97" i="3"/>
  <c r="AN45" i="2"/>
  <c r="AN46" i="2"/>
  <c r="P39" i="2"/>
  <c r="P48" i="2" s="1"/>
  <c r="P49" i="2" s="1"/>
  <c r="R45" i="2"/>
  <c r="AO46" i="2"/>
  <c r="AG39" i="2"/>
  <c r="R46" i="2"/>
  <c r="AF66" i="2"/>
  <c r="AM87" i="2"/>
  <c r="AM89" i="2" s="1"/>
  <c r="AM90" i="2" s="1"/>
  <c r="V97" i="3"/>
  <c r="AE39" i="2"/>
  <c r="AF46" i="2"/>
  <c r="AN39" i="2"/>
  <c r="Z45" i="2"/>
  <c r="Q46" i="2"/>
  <c r="Y46" i="2"/>
  <c r="AG46" i="2"/>
  <c r="Q39" i="2"/>
  <c r="Q48" i="2" s="1"/>
  <c r="Q49" i="2" s="1"/>
  <c r="Y39" i="2"/>
  <c r="AO39" i="2"/>
  <c r="AO48" i="2" s="1"/>
  <c r="AO49" i="2" s="1"/>
  <c r="S45" i="2"/>
  <c r="AA45" i="2"/>
  <c r="AI45" i="2"/>
  <c r="Z46" i="2"/>
  <c r="AH46" i="2"/>
  <c r="X66" i="2"/>
  <c r="X69" i="2" s="1"/>
  <c r="X70" i="2" s="1"/>
  <c r="AN66" i="2"/>
  <c r="AN69" i="2" s="1"/>
  <c r="AN70" i="2" s="1"/>
  <c r="Y87" i="2"/>
  <c r="AK87" i="2"/>
  <c r="R39" i="2"/>
  <c r="Z39" i="2"/>
  <c r="AH39" i="2"/>
  <c r="AH48" i="2" s="1"/>
  <c r="AH49" i="2" s="1"/>
  <c r="T45" i="2"/>
  <c r="AB45" i="2"/>
  <c r="AJ45" i="2"/>
  <c r="AJ48" i="2" s="1"/>
  <c r="AJ49" i="2" s="1"/>
  <c r="S46" i="2"/>
  <c r="AA46" i="2"/>
  <c r="AI46" i="2"/>
  <c r="Q66" i="2"/>
  <c r="Q69" i="2" s="1"/>
  <c r="Q70" i="2" s="1"/>
  <c r="Y66" i="2"/>
  <c r="Y69" i="2" s="1"/>
  <c r="Y70" i="2" s="1"/>
  <c r="AG66" i="2"/>
  <c r="AG69" i="2" s="1"/>
  <c r="AG70" i="2" s="1"/>
  <c r="AO66" i="2"/>
  <c r="Q89" i="2"/>
  <c r="Q90" i="2" s="1"/>
  <c r="S39" i="2"/>
  <c r="AA39" i="2"/>
  <c r="AA48" i="2" s="1"/>
  <c r="AA49" i="2" s="1"/>
  <c r="AI39" i="2"/>
  <c r="U45" i="2"/>
  <c r="AC45" i="2"/>
  <c r="AC48" i="2" s="1"/>
  <c r="AC49" i="2" s="1"/>
  <c r="AK45" i="2"/>
  <c r="AK48" i="2" s="1"/>
  <c r="AK49" i="2" s="1"/>
  <c r="T46" i="2"/>
  <c r="AB46" i="2"/>
  <c r="AJ46" i="2"/>
  <c r="V60" i="2"/>
  <c r="V69" i="2" s="1"/>
  <c r="V70" i="2" s="1"/>
  <c r="AD60" i="2"/>
  <c r="AD69" i="2" s="1"/>
  <c r="AD70" i="2" s="1"/>
  <c r="AL60" i="2"/>
  <c r="AL69" i="2" s="1"/>
  <c r="AL70" i="2" s="1"/>
  <c r="R66" i="2"/>
  <c r="R69" i="2" s="1"/>
  <c r="R70" i="2" s="1"/>
  <c r="Z66" i="2"/>
  <c r="Z69" i="2" s="1"/>
  <c r="Z70" i="2" s="1"/>
  <c r="AH66" i="2"/>
  <c r="AH69" i="2" s="1"/>
  <c r="AH70" i="2" s="1"/>
  <c r="W67" i="2"/>
  <c r="AE67" i="2"/>
  <c r="AM67" i="2"/>
  <c r="AM69" i="2" s="1"/>
  <c r="AM70" i="2" s="1"/>
  <c r="AI86" i="2"/>
  <c r="AI89" i="2" s="1"/>
  <c r="AI90" i="2" s="1"/>
  <c r="AA86" i="2"/>
  <c r="AA89" i="2" s="1"/>
  <c r="AA90" i="2" s="1"/>
  <c r="S86" i="2"/>
  <c r="S89" i="2" s="1"/>
  <c r="S90" i="2" s="1"/>
  <c r="AO86" i="2"/>
  <c r="AO89" i="2" s="1"/>
  <c r="AO90" i="2" s="1"/>
  <c r="AG86" i="2"/>
  <c r="AG89" i="2" s="1"/>
  <c r="AG90" i="2" s="1"/>
  <c r="Y86" i="2"/>
  <c r="Y89" i="2" s="1"/>
  <c r="Y90" i="2" s="1"/>
  <c r="Q86" i="2"/>
  <c r="AL86" i="2"/>
  <c r="AD86" i="2"/>
  <c r="V86" i="2"/>
  <c r="V89" i="2" s="1"/>
  <c r="V90" i="2" s="1"/>
  <c r="AC86" i="2"/>
  <c r="AB87" i="2"/>
  <c r="AB89" i="2" s="1"/>
  <c r="AB90" i="2" s="1"/>
  <c r="D30" i="3"/>
  <c r="C73" i="3" s="1"/>
  <c r="C51" i="3"/>
  <c r="E30" i="3"/>
  <c r="C94" i="3" s="1"/>
  <c r="AB76" i="3"/>
  <c r="AB98" i="3"/>
  <c r="T39" i="2"/>
  <c r="AB39" i="2"/>
  <c r="V45" i="2"/>
  <c r="V48" i="2" s="1"/>
  <c r="V49" i="2" s="1"/>
  <c r="AD45" i="2"/>
  <c r="AD48" i="2" s="1"/>
  <c r="AD49" i="2" s="1"/>
  <c r="U46" i="2"/>
  <c r="AC46" i="2"/>
  <c r="W60" i="2"/>
  <c r="AE60" i="2"/>
  <c r="AE69" i="2" s="1"/>
  <c r="AE70" i="2" s="1"/>
  <c r="S66" i="2"/>
  <c r="AA66" i="2"/>
  <c r="AA69" i="2" s="1"/>
  <c r="AA70" i="2" s="1"/>
  <c r="AN87" i="2"/>
  <c r="AN89" i="2" s="1"/>
  <c r="AN90" i="2" s="1"/>
  <c r="AF87" i="2"/>
  <c r="AF89" i="2" s="1"/>
  <c r="AF90" i="2" s="1"/>
  <c r="X87" i="2"/>
  <c r="X89" i="2" s="1"/>
  <c r="X90" i="2" s="1"/>
  <c r="AL87" i="2"/>
  <c r="AL89" i="2" s="1"/>
  <c r="AL90" i="2" s="1"/>
  <c r="AD87" i="2"/>
  <c r="V87" i="2"/>
  <c r="AI87" i="2"/>
  <c r="AA87" i="2"/>
  <c r="S87" i="2"/>
  <c r="X67" i="2"/>
  <c r="AF67" i="2"/>
  <c r="AF69" i="2" s="1"/>
  <c r="AF70" i="2" s="1"/>
  <c r="AN67" i="2"/>
  <c r="AD89" i="2"/>
  <c r="AD90" i="2" s="1"/>
  <c r="Q87" i="2"/>
  <c r="AC87" i="2"/>
  <c r="Z54" i="3"/>
  <c r="R54" i="3"/>
  <c r="J54" i="3"/>
  <c r="Y54" i="3"/>
  <c r="Q54" i="3"/>
  <c r="I54" i="3"/>
  <c r="X54" i="3"/>
  <c r="P54" i="3"/>
  <c r="H54" i="3"/>
  <c r="W54" i="3"/>
  <c r="O54" i="3"/>
  <c r="G54" i="3"/>
  <c r="AC54" i="3"/>
  <c r="U54" i="3"/>
  <c r="M54" i="3"/>
  <c r="E54" i="3"/>
  <c r="AB54" i="3"/>
  <c r="T54" i="3"/>
  <c r="L54" i="3"/>
  <c r="AA54" i="3"/>
  <c r="S54" i="3"/>
  <c r="K54" i="3"/>
  <c r="W77" i="3"/>
  <c r="H70" i="3"/>
  <c r="P70" i="3"/>
  <c r="X70" i="3"/>
  <c r="E76" i="3"/>
  <c r="M76" i="3"/>
  <c r="U76" i="3"/>
  <c r="AC76" i="3"/>
  <c r="J77" i="3"/>
  <c r="R77" i="3"/>
  <c r="Z77" i="3"/>
  <c r="K91" i="3"/>
  <c r="S91" i="3"/>
  <c r="H97" i="3"/>
  <c r="P97" i="3"/>
  <c r="X97" i="3"/>
  <c r="E98" i="3"/>
  <c r="M98" i="3"/>
  <c r="U98" i="3"/>
  <c r="AC98" i="3"/>
  <c r="F76" i="3"/>
  <c r="N76" i="3"/>
  <c r="V76" i="3"/>
  <c r="K77" i="3"/>
  <c r="S77" i="3"/>
  <c r="AA77" i="3"/>
  <c r="F98" i="3"/>
  <c r="N98" i="3"/>
  <c r="V98" i="3"/>
  <c r="G48" i="3"/>
  <c r="O48" i="3"/>
  <c r="W48" i="3"/>
  <c r="G76" i="3"/>
  <c r="O76" i="3"/>
  <c r="W76" i="3"/>
  <c r="L77" i="3"/>
  <c r="T77" i="3"/>
  <c r="AB77" i="3"/>
  <c r="G98" i="3"/>
  <c r="O98" i="3"/>
  <c r="W98" i="3"/>
  <c r="K70" i="3"/>
  <c r="S70" i="3"/>
  <c r="H76" i="3"/>
  <c r="P76" i="3"/>
  <c r="X76" i="3"/>
  <c r="E77" i="3"/>
  <c r="M77" i="3"/>
  <c r="U77" i="3"/>
  <c r="AC77" i="3"/>
  <c r="H98" i="3"/>
  <c r="P98" i="3"/>
  <c r="X98" i="3"/>
  <c r="U80" i="2"/>
  <c r="U89" i="2" s="1"/>
  <c r="U90" i="2" s="1"/>
  <c r="AC80" i="2"/>
  <c r="AC89" i="2" s="1"/>
  <c r="AC90" i="2" s="1"/>
  <c r="AK80" i="2"/>
  <c r="AK89" i="2" s="1"/>
  <c r="AK90" i="2" s="1"/>
  <c r="I76" i="3"/>
  <c r="Q76" i="3"/>
  <c r="Y76" i="3"/>
  <c r="F77" i="3"/>
  <c r="N77" i="3"/>
  <c r="V77" i="3"/>
  <c r="L97" i="3"/>
  <c r="T97" i="3"/>
  <c r="AB97" i="3"/>
  <c r="I98" i="3"/>
  <c r="Q98" i="3"/>
  <c r="Y98" i="3"/>
  <c r="C24" i="3"/>
  <c r="J48" i="3"/>
  <c r="R48" i="3"/>
  <c r="Z48" i="3"/>
  <c r="J76" i="3"/>
  <c r="R76" i="3"/>
  <c r="Z76" i="3"/>
  <c r="G77" i="3"/>
  <c r="O77" i="3"/>
  <c r="J98" i="3"/>
  <c r="R98" i="3"/>
  <c r="Z98" i="3"/>
  <c r="W80" i="2"/>
  <c r="W89" i="2" s="1"/>
  <c r="W90" i="2" s="1"/>
  <c r="AE80" i="2"/>
  <c r="AE89" i="2" s="1"/>
  <c r="AE90" i="2" s="1"/>
  <c r="D24" i="3"/>
  <c r="D37" i="3" s="1"/>
  <c r="C64" i="3" s="1"/>
  <c r="K48" i="3"/>
  <c r="S48" i="3"/>
  <c r="K76" i="3"/>
  <c r="S76" i="3"/>
  <c r="AA76" i="3"/>
  <c r="H77" i="3"/>
  <c r="P77" i="3"/>
  <c r="X77" i="3"/>
  <c r="K98" i="3"/>
  <c r="S98" i="3"/>
  <c r="AA98" i="3"/>
  <c r="L76" i="3"/>
  <c r="T76" i="3"/>
  <c r="I77" i="3"/>
  <c r="Q77" i="3"/>
  <c r="L98" i="3"/>
  <c r="T98" i="3"/>
  <c r="AE48" i="2" l="1"/>
  <c r="AE49" i="2" s="1"/>
  <c r="C42" i="3"/>
  <c r="C37" i="3"/>
  <c r="K21" i="1"/>
  <c r="G21" i="1"/>
  <c r="Y73" i="3"/>
  <c r="Y79" i="3" s="1"/>
  <c r="Y80" i="3" s="1"/>
  <c r="Q73" i="3"/>
  <c r="Q79" i="3" s="1"/>
  <c r="Q80" i="3" s="1"/>
  <c r="I73" i="3"/>
  <c r="I79" i="3" s="1"/>
  <c r="I80" i="3" s="1"/>
  <c r="X73" i="3"/>
  <c r="P73" i="3"/>
  <c r="P79" i="3" s="1"/>
  <c r="P80" i="3" s="1"/>
  <c r="H73" i="3"/>
  <c r="H79" i="3" s="1"/>
  <c r="H80" i="3" s="1"/>
  <c r="W73" i="3"/>
  <c r="W79" i="3" s="1"/>
  <c r="W80" i="3" s="1"/>
  <c r="O73" i="3"/>
  <c r="O79" i="3" s="1"/>
  <c r="O80" i="3" s="1"/>
  <c r="G73" i="3"/>
  <c r="G79" i="3" s="1"/>
  <c r="G80" i="3" s="1"/>
  <c r="V73" i="3"/>
  <c r="V79" i="3" s="1"/>
  <c r="V80" i="3" s="1"/>
  <c r="N73" i="3"/>
  <c r="N79" i="3" s="1"/>
  <c r="N80" i="3" s="1"/>
  <c r="F73" i="3"/>
  <c r="F79" i="3" s="1"/>
  <c r="F80" i="3" s="1"/>
  <c r="AC73" i="3"/>
  <c r="AC79" i="3" s="1"/>
  <c r="AC80" i="3" s="1"/>
  <c r="U73" i="3"/>
  <c r="U79" i="3" s="1"/>
  <c r="U80" i="3" s="1"/>
  <c r="M73" i="3"/>
  <c r="M79" i="3" s="1"/>
  <c r="M80" i="3" s="1"/>
  <c r="E73" i="3"/>
  <c r="E79" i="3" s="1"/>
  <c r="E80" i="3" s="1"/>
  <c r="AB73" i="3"/>
  <c r="AB79" i="3" s="1"/>
  <c r="AB80" i="3" s="1"/>
  <c r="T73" i="3"/>
  <c r="T79" i="3" s="1"/>
  <c r="T80" i="3" s="1"/>
  <c r="L73" i="3"/>
  <c r="L79" i="3" s="1"/>
  <c r="L80" i="3" s="1"/>
  <c r="AA73" i="3"/>
  <c r="AA79" i="3" s="1"/>
  <c r="AA80" i="3" s="1"/>
  <c r="S73" i="3"/>
  <c r="K73" i="3"/>
  <c r="K79" i="3" s="1"/>
  <c r="K80" i="3" s="1"/>
  <c r="Z73" i="3"/>
  <c r="Z79" i="3" s="1"/>
  <c r="Z80" i="3" s="1"/>
  <c r="R73" i="3"/>
  <c r="R79" i="3" s="1"/>
  <c r="R80" i="3" s="1"/>
  <c r="J73" i="3"/>
  <c r="J79" i="3" s="1"/>
  <c r="J80" i="3" s="1"/>
  <c r="S79" i="3"/>
  <c r="S80" i="3" s="1"/>
  <c r="I20" i="1"/>
  <c r="J21" i="1" s="1"/>
  <c r="K20" i="1"/>
  <c r="C18" i="1"/>
  <c r="P91" i="2"/>
  <c r="Q30" i="2" s="1"/>
  <c r="S57" i="3"/>
  <c r="S58" i="3" s="1"/>
  <c r="Y48" i="2"/>
  <c r="Y49" i="2" s="1"/>
  <c r="X79" i="3"/>
  <c r="X80" i="3" s="1"/>
  <c r="AB48" i="2"/>
  <c r="AB49" i="2" s="1"/>
  <c r="H20" i="1"/>
  <c r="I21" i="1" s="1"/>
  <c r="D20" i="1"/>
  <c r="E21" i="1" s="1"/>
  <c r="K18" i="1"/>
  <c r="J57" i="3"/>
  <c r="J58" i="3" s="1"/>
  <c r="U50" i="2"/>
  <c r="AJ50" i="2"/>
  <c r="R50" i="2"/>
  <c r="AA50" i="2"/>
  <c r="P50" i="2"/>
  <c r="AG50" i="2"/>
  <c r="Q50" i="2"/>
  <c r="C50" i="3"/>
  <c r="D50" i="3" s="1"/>
  <c r="D57" i="3" s="1"/>
  <c r="D58" i="3" s="1"/>
  <c r="E28" i="3"/>
  <c r="D28" i="3"/>
  <c r="C29" i="3"/>
  <c r="T48" i="2"/>
  <c r="T49" i="2" s="1"/>
  <c r="AI48" i="2"/>
  <c r="AI49" i="2" s="1"/>
  <c r="Z48" i="2"/>
  <c r="Z49" i="2" s="1"/>
  <c r="AG48" i="2"/>
  <c r="AG49" i="2" s="1"/>
  <c r="AF48" i="2"/>
  <c r="AF49" i="2" s="1"/>
  <c r="E18" i="1"/>
  <c r="G18" i="1"/>
  <c r="G20" i="1"/>
  <c r="V51" i="3"/>
  <c r="V57" i="3" s="1"/>
  <c r="V58" i="3" s="1"/>
  <c r="N51" i="3"/>
  <c r="N57" i="3" s="1"/>
  <c r="N58" i="3" s="1"/>
  <c r="F51" i="3"/>
  <c r="F57" i="3" s="1"/>
  <c r="F58" i="3" s="1"/>
  <c r="AC51" i="3"/>
  <c r="AC57" i="3" s="1"/>
  <c r="AC58" i="3" s="1"/>
  <c r="U51" i="3"/>
  <c r="U57" i="3" s="1"/>
  <c r="U58" i="3" s="1"/>
  <c r="M51" i="3"/>
  <c r="M57" i="3" s="1"/>
  <c r="M58" i="3" s="1"/>
  <c r="E51" i="3"/>
  <c r="E57" i="3" s="1"/>
  <c r="E58" i="3" s="1"/>
  <c r="AB51" i="3"/>
  <c r="AB57" i="3" s="1"/>
  <c r="AB58" i="3" s="1"/>
  <c r="T51" i="3"/>
  <c r="T57" i="3" s="1"/>
  <c r="T58" i="3" s="1"/>
  <c r="L51" i="3"/>
  <c r="L57" i="3" s="1"/>
  <c r="L58" i="3" s="1"/>
  <c r="AA51" i="3"/>
  <c r="AA57" i="3" s="1"/>
  <c r="AA58" i="3" s="1"/>
  <c r="S51" i="3"/>
  <c r="K51" i="3"/>
  <c r="K57" i="3" s="1"/>
  <c r="K58" i="3" s="1"/>
  <c r="Y51" i="3"/>
  <c r="Y57" i="3" s="1"/>
  <c r="Y58" i="3" s="1"/>
  <c r="Q51" i="3"/>
  <c r="Q57" i="3" s="1"/>
  <c r="Q58" i="3" s="1"/>
  <c r="I51" i="3"/>
  <c r="I57" i="3" s="1"/>
  <c r="I58" i="3" s="1"/>
  <c r="X51" i="3"/>
  <c r="X57" i="3" s="1"/>
  <c r="X58" i="3" s="1"/>
  <c r="P51" i="3"/>
  <c r="P57" i="3" s="1"/>
  <c r="P58" i="3" s="1"/>
  <c r="H51" i="3"/>
  <c r="H57" i="3" s="1"/>
  <c r="H58" i="3" s="1"/>
  <c r="W51" i="3"/>
  <c r="W57" i="3" s="1"/>
  <c r="W58" i="3" s="1"/>
  <c r="O51" i="3"/>
  <c r="O57" i="3" s="1"/>
  <c r="O58" i="3" s="1"/>
  <c r="G51" i="3"/>
  <c r="G57" i="3" s="1"/>
  <c r="G58" i="3" s="1"/>
  <c r="Z51" i="3"/>
  <c r="Z57" i="3" s="1"/>
  <c r="Z58" i="3" s="1"/>
  <c r="R51" i="3"/>
  <c r="J51" i="3"/>
  <c r="R48" i="2"/>
  <c r="R49" i="2" s="1"/>
  <c r="AB50" i="2" s="1"/>
  <c r="F18" i="1"/>
  <c r="L20" i="1"/>
  <c r="S100" i="3"/>
  <c r="S101" i="3" s="1"/>
  <c r="R57" i="3"/>
  <c r="R58" i="3" s="1"/>
  <c r="W69" i="2"/>
  <c r="W70" i="2" s="1"/>
  <c r="P71" i="2" s="1"/>
  <c r="P30" i="2" s="1"/>
  <c r="AB94" i="3"/>
  <c r="AB100" i="3" s="1"/>
  <c r="AB101" i="3" s="1"/>
  <c r="T94" i="3"/>
  <c r="T100" i="3" s="1"/>
  <c r="T101" i="3" s="1"/>
  <c r="L94" i="3"/>
  <c r="L100" i="3" s="1"/>
  <c r="L101" i="3" s="1"/>
  <c r="AA94" i="3"/>
  <c r="AA100" i="3" s="1"/>
  <c r="AA101" i="3" s="1"/>
  <c r="S94" i="3"/>
  <c r="K94" i="3"/>
  <c r="K100" i="3" s="1"/>
  <c r="K101" i="3" s="1"/>
  <c r="Z94" i="3"/>
  <c r="Z100" i="3" s="1"/>
  <c r="Z101" i="3" s="1"/>
  <c r="R94" i="3"/>
  <c r="R100" i="3" s="1"/>
  <c r="R101" i="3" s="1"/>
  <c r="J94" i="3"/>
  <c r="J100" i="3" s="1"/>
  <c r="J101" i="3" s="1"/>
  <c r="Y94" i="3"/>
  <c r="Y100" i="3" s="1"/>
  <c r="Y101" i="3" s="1"/>
  <c r="Q94" i="3"/>
  <c r="Q100" i="3" s="1"/>
  <c r="Q101" i="3" s="1"/>
  <c r="I94" i="3"/>
  <c r="I100" i="3" s="1"/>
  <c r="I101" i="3" s="1"/>
  <c r="X94" i="3"/>
  <c r="X100" i="3" s="1"/>
  <c r="X101" i="3" s="1"/>
  <c r="P94" i="3"/>
  <c r="P100" i="3" s="1"/>
  <c r="P101" i="3" s="1"/>
  <c r="H94" i="3"/>
  <c r="H100" i="3" s="1"/>
  <c r="H101" i="3" s="1"/>
  <c r="W94" i="3"/>
  <c r="W100" i="3" s="1"/>
  <c r="W101" i="3" s="1"/>
  <c r="O94" i="3"/>
  <c r="O100" i="3" s="1"/>
  <c r="O101" i="3" s="1"/>
  <c r="G94" i="3"/>
  <c r="G100" i="3" s="1"/>
  <c r="G101" i="3" s="1"/>
  <c r="V94" i="3"/>
  <c r="V100" i="3" s="1"/>
  <c r="V101" i="3" s="1"/>
  <c r="N94" i="3"/>
  <c r="N100" i="3" s="1"/>
  <c r="N101" i="3" s="1"/>
  <c r="F94" i="3"/>
  <c r="F100" i="3" s="1"/>
  <c r="F101" i="3" s="1"/>
  <c r="AC94" i="3"/>
  <c r="AC100" i="3" s="1"/>
  <c r="AC101" i="3" s="1"/>
  <c r="U94" i="3"/>
  <c r="U100" i="3" s="1"/>
  <c r="U101" i="3" s="1"/>
  <c r="M94" i="3"/>
  <c r="M100" i="3" s="1"/>
  <c r="M101" i="3" s="1"/>
  <c r="E94" i="3"/>
  <c r="E100" i="3" s="1"/>
  <c r="E101" i="3" s="1"/>
  <c r="S48" i="2"/>
  <c r="S49" i="2" s="1"/>
  <c r="AF50" i="2" s="1"/>
  <c r="AN48" i="2"/>
  <c r="AN49" i="2" s="1"/>
  <c r="AO50" i="2" s="1"/>
  <c r="D18" i="1"/>
  <c r="H18" i="1"/>
  <c r="C72" i="3" l="1"/>
  <c r="D72" i="3" s="1"/>
  <c r="D79" i="3" s="1"/>
  <c r="D80" i="3" s="1"/>
  <c r="D81" i="3" s="1"/>
  <c r="D38" i="3" s="1"/>
  <c r="D29" i="3"/>
  <c r="E29" i="3"/>
  <c r="C93" i="3"/>
  <c r="D93" i="3" s="1"/>
  <c r="D100" i="3" s="1"/>
  <c r="D101" i="3" s="1"/>
  <c r="D102" i="3" s="1"/>
  <c r="E38" i="3" s="1"/>
  <c r="AC50" i="2"/>
  <c r="X59" i="3"/>
  <c r="P59" i="3"/>
  <c r="H59" i="3"/>
  <c r="W59" i="3"/>
  <c r="O59" i="3"/>
  <c r="G59" i="3"/>
  <c r="D60" i="3"/>
  <c r="C38" i="3" s="1"/>
  <c r="V59" i="3"/>
  <c r="N59" i="3"/>
  <c r="F59" i="3"/>
  <c r="AC59" i="3"/>
  <c r="U59" i="3"/>
  <c r="M59" i="3"/>
  <c r="E59" i="3"/>
  <c r="AB59" i="3"/>
  <c r="T59" i="3"/>
  <c r="L59" i="3"/>
  <c r="D59" i="3"/>
  <c r="AA59" i="3"/>
  <c r="S59" i="3"/>
  <c r="K59" i="3"/>
  <c r="Z59" i="3"/>
  <c r="R59" i="3"/>
  <c r="J59" i="3"/>
  <c r="Y59" i="3"/>
  <c r="Q59" i="3"/>
  <c r="I59" i="3"/>
  <c r="P51" i="2"/>
  <c r="O30" i="2" s="1"/>
  <c r="AH50" i="2"/>
  <c r="AK50" i="2"/>
  <c r="L21" i="1"/>
  <c r="AM50" i="2"/>
  <c r="W50" i="2"/>
  <c r="S50" i="2"/>
  <c r="V50" i="2"/>
  <c r="AN50" i="2"/>
  <c r="X50" i="2"/>
  <c r="AI50" i="2"/>
  <c r="AD50" i="2"/>
  <c r="D21" i="1"/>
  <c r="Z50" i="2"/>
  <c r="AL50" i="2"/>
  <c r="T50" i="2"/>
  <c r="H21" i="1"/>
  <c r="Y50" i="2"/>
  <c r="AE50" i="2"/>
</calcChain>
</file>

<file path=xl/sharedStrings.xml><?xml version="1.0" encoding="utf-8"?>
<sst xmlns="http://schemas.openxmlformats.org/spreadsheetml/2006/main" count="321" uniqueCount="165">
  <si>
    <t>Basiskalkulationszinsfuß i</t>
  </si>
  <si>
    <t>Preissteigerungsrate Energie</t>
  </si>
  <si>
    <t>Spez. Stromkosten</t>
  </si>
  <si>
    <t>Techn. Einsparpotential</t>
  </si>
  <si>
    <t>Investausgabe</t>
  </si>
  <si>
    <t>Nutzungsdauer [Jahre]</t>
  </si>
  <si>
    <t>20% der vorges. Nutzungsdauer [Jahre]</t>
  </si>
  <si>
    <t>Periode t</t>
  </si>
  <si>
    <t>Spezifischer Energiepreis</t>
  </si>
  <si>
    <t>Auszahlungen</t>
  </si>
  <si>
    <t>Investitionsauszahlung</t>
  </si>
  <si>
    <t>Einzahlungen</t>
  </si>
  <si>
    <t xml:space="preserve">Energiekosteneinsparungen </t>
  </si>
  <si>
    <t>Resultate/Indikatoren</t>
  </si>
  <si>
    <t>Summe</t>
  </si>
  <si>
    <t>Barwerte</t>
  </si>
  <si>
    <t>kumulierte Barwerte: KW = f(T)</t>
  </si>
  <si>
    <t>Kapitalwert</t>
  </si>
  <si>
    <r>
      <rPr>
        <b/>
        <sz val="11"/>
        <color indexed="10"/>
        <rFont val="Helvetica Neue"/>
      </rPr>
      <t>Kapitalwert</t>
    </r>
    <r>
      <rPr>
        <b/>
        <vertAlign val="subscript"/>
        <sz val="11"/>
        <color indexed="10"/>
        <rFont val="Helvetica Neue"/>
      </rPr>
      <t xml:space="preserve"> </t>
    </r>
    <r>
      <rPr>
        <b/>
        <sz val="11"/>
        <color indexed="10"/>
        <rFont val="Helvetica Neue"/>
      </rPr>
      <t>= f(t)</t>
    </r>
  </si>
  <si>
    <t>Amortisationszeit (Payback Period) [Jahre]</t>
  </si>
  <si>
    <t>Interner Zinsfuß (IRR)</t>
  </si>
  <si>
    <t>Quantifizierung der Nutzen und Lasten (nur grüne Felder bearbeiten)</t>
  </si>
  <si>
    <t>Wirkungen von ERI</t>
  </si>
  <si>
    <t>Umfang Last bzw. Nutzen (nur numerisch)</t>
  </si>
  <si>
    <t>Einheit (A)</t>
  </si>
  <si>
    <t>Monetarisierung möglich (ja/nein)?</t>
  </si>
  <si>
    <t>Spezifische Kosten/Nutzen [€/Einheit A]  (nur numerisch)</t>
  </si>
  <si>
    <t>Einheit</t>
  </si>
  <si>
    <t>Betrag [€]</t>
  </si>
  <si>
    <t>Zeitpunkt der Zahlung</t>
  </si>
  <si>
    <t>Preisänderungsrate [%/a]</t>
  </si>
  <si>
    <t>Degradation [%]</t>
  </si>
  <si>
    <t>Aufnahme in den Abschlussbericht?</t>
  </si>
  <si>
    <t>Beispiel</t>
  </si>
  <si>
    <t>Anschaffung von Hocheffizienz-Elektromotoren xyz</t>
  </si>
  <si>
    <t>Stk.</t>
  </si>
  <si>
    <t>ja</t>
  </si>
  <si>
    <t>Jahr 0</t>
  </si>
  <si>
    <t>-</t>
  </si>
  <si>
    <t>irrel.</t>
  </si>
  <si>
    <t>Last/Anstren-gung</t>
  </si>
  <si>
    <t>Investitionsauszahlung für neue Pumpen</t>
  </si>
  <si>
    <t>Pumpen</t>
  </si>
  <si>
    <t>Jahr 0</t>
  </si>
  <si>
    <t>–</t>
  </si>
  <si>
    <t>nicht anwendbar</t>
  </si>
  <si>
    <t>Auslegung eines neuen Pumpensystems</t>
  </si>
  <si>
    <t>h</t>
  </si>
  <si>
    <t>Produktionsausfälle bei der Inbetriebnahme</t>
  </si>
  <si>
    <t>Nutzen</t>
  </si>
  <si>
    <t>jährliche Energieeinsparung (Strom)</t>
  </si>
  <si>
    <t>kWh/a</t>
  </si>
  <si>
    <t>jedes Jahr</t>
  </si>
  <si>
    <t>+3 %/a</t>
  </si>
  <si>
    <t>+0 %/a</t>
  </si>
  <si>
    <t>geringere Wartung</t>
  </si>
  <si>
    <t>h/a</t>
  </si>
  <si>
    <t>alle 2 Jahre</t>
  </si>
  <si>
    <t>+2 %/a</t>
  </si>
  <si>
    <t>Lärmminderung</t>
  </si>
  <si>
    <t>dB</t>
  </si>
  <si>
    <t>nein</t>
  </si>
  <si>
    <t>Schrottwert alter Pumpen</t>
  </si>
  <si>
    <t>neues Pumpsystem benötigt weniger Platz</t>
  </si>
  <si>
    <t>m2</t>
  </si>
  <si>
    <t>Ermittlung des Zinssatzes</t>
  </si>
  <si>
    <t>Bestimmung des Zinssatzes</t>
  </si>
  <si>
    <t>Wert (wahrsch. Fall)</t>
  </si>
  <si>
    <t>Wert (worst case)</t>
  </si>
  <si>
    <t>Wert (best case)</t>
  </si>
  <si>
    <r>
      <rPr>
        <sz val="13"/>
        <color indexed="8"/>
        <rFont val="Arial"/>
      </rPr>
      <t>Eigenkapitalanteil S</t>
    </r>
    <r>
      <rPr>
        <vertAlign val="subscript"/>
        <sz val="13"/>
        <color indexed="8"/>
        <rFont val="Arial"/>
      </rPr>
      <t>eq</t>
    </r>
    <r>
      <rPr>
        <sz val="13"/>
        <color indexed="8"/>
        <rFont val="Arial"/>
      </rPr>
      <t xml:space="preserve"> (= </t>
    </r>
    <r>
      <rPr>
        <i/>
        <sz val="13"/>
        <color indexed="8"/>
        <rFont val="Arial"/>
      </rPr>
      <t>C</t>
    </r>
    <r>
      <rPr>
        <vertAlign val="subscript"/>
        <sz val="13"/>
        <color indexed="8"/>
        <rFont val="Arial"/>
      </rPr>
      <t>eq</t>
    </r>
    <r>
      <rPr>
        <sz val="13"/>
        <color indexed="8"/>
        <rFont val="Arial"/>
      </rPr>
      <t> / </t>
    </r>
    <r>
      <rPr>
        <i/>
        <sz val="13"/>
        <color indexed="8"/>
        <rFont val="Arial"/>
      </rPr>
      <t>C</t>
    </r>
    <r>
      <rPr>
        <vertAlign val="subscript"/>
        <sz val="13"/>
        <color indexed="8"/>
        <rFont val="Arial"/>
      </rPr>
      <t>invest</t>
    </r>
    <r>
      <rPr>
        <sz val="13"/>
        <color indexed="8"/>
        <rFont val="Arial"/>
      </rPr>
      <t>) [%]</t>
    </r>
  </si>
  <si>
    <r>
      <rPr>
        <sz val="13"/>
        <color indexed="8"/>
        <rFont val="Arial"/>
      </rPr>
      <t>Fremdkapitalanteil S</t>
    </r>
    <r>
      <rPr>
        <vertAlign val="subscript"/>
        <sz val="13"/>
        <color indexed="8"/>
        <rFont val="Arial"/>
      </rPr>
      <t>debt</t>
    </r>
    <r>
      <rPr>
        <sz val="13"/>
        <color indexed="8"/>
        <rFont val="Arial"/>
      </rPr>
      <t xml:space="preserve"> (= </t>
    </r>
    <r>
      <rPr>
        <i/>
        <sz val="13"/>
        <color indexed="8"/>
        <rFont val="Arial"/>
      </rPr>
      <t>C</t>
    </r>
    <r>
      <rPr>
        <vertAlign val="subscript"/>
        <sz val="13"/>
        <color indexed="8"/>
        <rFont val="Arial"/>
      </rPr>
      <t>debt</t>
    </r>
    <r>
      <rPr>
        <sz val="13"/>
        <color indexed="8"/>
        <rFont val="Arial"/>
      </rPr>
      <t> / </t>
    </r>
    <r>
      <rPr>
        <i/>
        <sz val="13"/>
        <color indexed="8"/>
        <rFont val="Arial"/>
      </rPr>
      <t>C</t>
    </r>
    <r>
      <rPr>
        <vertAlign val="subscript"/>
        <sz val="13"/>
        <color indexed="8"/>
        <rFont val="Arial"/>
      </rPr>
      <t>invest</t>
    </r>
    <r>
      <rPr>
        <sz val="13"/>
        <color indexed="8"/>
        <rFont val="Arial"/>
      </rPr>
      <t>) [%]</t>
    </r>
  </si>
  <si>
    <r>
      <rPr>
        <i/>
        <sz val="13"/>
        <color indexed="8"/>
        <rFont val="Arial"/>
      </rPr>
      <t>r</t>
    </r>
    <r>
      <rPr>
        <vertAlign val="subscript"/>
        <sz val="13"/>
        <color indexed="8"/>
        <rFont val="Arial"/>
      </rPr>
      <t>eq</t>
    </r>
    <r>
      <rPr>
        <sz val="13"/>
        <color indexed="8"/>
        <rFont val="Arial"/>
      </rPr>
      <t> = Zinssatz für Eigenkapital [%]</t>
    </r>
  </si>
  <si>
    <r>
      <rPr>
        <i/>
        <sz val="13"/>
        <color indexed="8"/>
        <rFont val="Arial"/>
      </rPr>
      <t>r</t>
    </r>
    <r>
      <rPr>
        <vertAlign val="subscript"/>
        <sz val="13"/>
        <color indexed="8"/>
        <rFont val="Arial"/>
      </rPr>
      <t>debt</t>
    </r>
    <r>
      <rPr>
        <sz val="13"/>
        <color indexed="8"/>
        <rFont val="Arial"/>
      </rPr>
      <t> = Zinssatz des Fremdkapitals [%]</t>
    </r>
  </si>
  <si>
    <r>
      <rPr>
        <i/>
        <sz val="13"/>
        <color indexed="8"/>
        <rFont val="Arial"/>
      </rPr>
      <t>r </t>
    </r>
    <r>
      <rPr>
        <sz val="13"/>
        <color indexed="8"/>
        <rFont val="Arial"/>
      </rPr>
      <t>= gewichtete durchschnittliche Kapitalkosten WACC (= </t>
    </r>
    <r>
      <rPr>
        <i/>
        <sz val="13"/>
        <color indexed="8"/>
        <rFont val="Arial"/>
      </rPr>
      <t>S</t>
    </r>
    <r>
      <rPr>
        <vertAlign val="subscript"/>
        <sz val="13"/>
        <color indexed="8"/>
        <rFont val="Arial"/>
      </rPr>
      <t>eq</t>
    </r>
    <r>
      <rPr>
        <sz val="13"/>
        <color indexed="8"/>
        <rFont val="Arial"/>
      </rPr>
      <t> ⋅ r</t>
    </r>
    <r>
      <rPr>
        <vertAlign val="subscript"/>
        <sz val="13"/>
        <color indexed="8"/>
        <rFont val="Arial"/>
      </rPr>
      <t>eq</t>
    </r>
    <r>
      <rPr>
        <sz val="13"/>
        <color indexed="8"/>
        <rFont val="Arial"/>
      </rPr>
      <t> + </t>
    </r>
    <r>
      <rPr>
        <i/>
        <sz val="13"/>
        <color indexed="8"/>
        <rFont val="Arial"/>
      </rPr>
      <t>S</t>
    </r>
    <r>
      <rPr>
        <vertAlign val="subscript"/>
        <sz val="13"/>
        <color indexed="8"/>
        <rFont val="Arial"/>
      </rPr>
      <t>debt</t>
    </r>
    <r>
      <rPr>
        <sz val="13"/>
        <color indexed="8"/>
        <rFont val="Arial"/>
      </rPr>
      <t> ⋅ </t>
    </r>
    <r>
      <rPr>
        <i/>
        <sz val="13"/>
        <color indexed="8"/>
        <rFont val="Arial"/>
      </rPr>
      <t>r</t>
    </r>
    <r>
      <rPr>
        <vertAlign val="subscript"/>
        <sz val="13"/>
        <color indexed="8"/>
        <rFont val="Arial"/>
      </rPr>
      <t>debt</t>
    </r>
    <r>
      <rPr>
        <sz val="13"/>
        <color indexed="8"/>
        <rFont val="Arial"/>
      </rPr>
      <t>)</t>
    </r>
  </si>
  <si>
    <t>Szenario-Analyse – Parameterwerte</t>
  </si>
  <si>
    <r>
      <rPr>
        <b/>
        <sz val="14"/>
        <color indexed="8"/>
        <rFont val="Arial"/>
      </rPr>
      <t>Einstellparameter</t>
    </r>
  </si>
  <si>
    <r>
      <rPr>
        <b/>
        <sz val="14"/>
        <color indexed="8"/>
        <rFont val="Arial"/>
      </rPr>
      <t>Wahrscheinlicher Fall</t>
    </r>
  </si>
  <si>
    <r>
      <rPr>
        <b/>
        <sz val="14"/>
        <color indexed="8"/>
        <rFont val="Arial"/>
      </rPr>
      <t>Worst-Case</t>
    </r>
  </si>
  <si>
    <r>
      <rPr>
        <b/>
        <sz val="14"/>
        <color indexed="8"/>
        <rFont val="Arial"/>
      </rPr>
      <t>Best-Case</t>
    </r>
  </si>
  <si>
    <r>
      <rPr>
        <sz val="14"/>
        <color indexed="8"/>
        <rFont val="Arial"/>
      </rPr>
      <t>Investitionsauszahlung</t>
    </r>
  </si>
  <si>
    <r>
      <rPr>
        <sz val="14"/>
        <color indexed="8"/>
        <rFont val="Arial"/>
      </rPr>
      <t>Jährliche Energieeinsparung oder Energieversorgung</t>
    </r>
  </si>
  <si>
    <r>
      <rPr>
        <sz val="14"/>
        <color indexed="8"/>
        <rFont val="Arial"/>
      </rPr>
      <t>Jährliche Energiepreisschwankungen</t>
    </r>
  </si>
  <si>
    <r>
      <rPr>
        <sz val="14"/>
        <color indexed="8"/>
        <rFont val="Arial"/>
      </rPr>
      <t>Jährliche Preisschwankungsrate für relevante Dienstleistungen und Materialien</t>
    </r>
  </si>
  <si>
    <r>
      <rPr>
        <sz val="14"/>
        <color indexed="8"/>
        <rFont val="Arial"/>
      </rPr>
      <t>Laufzeit der Investition </t>
    </r>
    <r>
      <rPr>
        <i/>
        <sz val="14"/>
        <color indexed="8"/>
        <rFont val="Arial"/>
      </rPr>
      <t xml:space="preserve">T </t>
    </r>
    <r>
      <rPr>
        <sz val="14"/>
        <color indexed="8"/>
        <rFont val="Arial"/>
      </rPr>
      <t>[Jahre]</t>
    </r>
  </si>
  <si>
    <r>
      <rPr>
        <sz val="14"/>
        <color indexed="8"/>
        <rFont val="Arial"/>
      </rPr>
      <t>Kalkulationszinssatz </t>
    </r>
    <r>
      <rPr>
        <i/>
        <sz val="14"/>
        <color indexed="8"/>
        <rFont val="Arial"/>
      </rPr>
      <t>r</t>
    </r>
    <r>
      <rPr>
        <sz val="14"/>
        <color indexed="8"/>
        <rFont val="Arial"/>
      </rPr>
      <t xml:space="preserve"> </t>
    </r>
  </si>
  <si>
    <r>
      <rPr>
        <b/>
        <sz val="14"/>
        <color indexed="8"/>
        <rFont val="Arial"/>
      </rPr>
      <t>NPV</t>
    </r>
  </si>
  <si>
    <t>Kapitalwertberechnung – Wahrscheinlicher Fall</t>
  </si>
  <si>
    <r>
      <rPr>
        <b/>
        <sz val="14"/>
        <color indexed="8"/>
        <rFont val="Arial"/>
      </rPr>
      <t>Periode t</t>
    </r>
  </si>
  <si>
    <r>
      <rPr>
        <sz val="14"/>
        <color indexed="8"/>
        <rFont val="Arial"/>
      </rPr>
      <t>Kalkulationszinssatz r</t>
    </r>
  </si>
  <si>
    <r>
      <rPr>
        <sz val="14"/>
        <color indexed="8"/>
        <rFont val="Arial"/>
      </rPr>
      <t>Jährliche Energiepreisschwankungen epr</t>
    </r>
  </si>
  <si>
    <r>
      <rPr>
        <sz val="14"/>
        <color indexed="8"/>
        <rFont val="Arial"/>
      </rPr>
      <t>Jährliche Preisschwankung, keine Energie pr</t>
    </r>
  </si>
  <si>
    <r>
      <rPr>
        <sz val="14"/>
        <color indexed="8"/>
        <rFont val="Arial"/>
      </rPr>
      <t>Tatsächlicher spezifischer Energiepreis</t>
    </r>
  </si>
  <si>
    <r>
      <rPr>
        <sz val="14"/>
        <color indexed="8"/>
        <rFont val="Arial"/>
      </rPr>
      <t>Zu berücksichtigende Perioden</t>
    </r>
  </si>
  <si>
    <t>Berücksichtigte Periode</t>
  </si>
  <si>
    <r>
      <rPr>
        <b/>
        <sz val="14"/>
        <color indexed="8"/>
        <rFont val="Arial"/>
      </rPr>
      <t>Auszahlungen</t>
    </r>
  </si>
  <si>
    <t>Basiswerte</t>
  </si>
  <si>
    <t>Planungskosten</t>
  </si>
  <si>
    <r>
      <rPr>
        <b/>
        <sz val="14"/>
        <color indexed="8"/>
        <rFont val="Arial"/>
      </rPr>
      <t>Einzahlungen</t>
    </r>
  </si>
  <si>
    <t>Energieeinsparungen jährlich</t>
  </si>
  <si>
    <t>Geringere Wartung</t>
  </si>
  <si>
    <r>
      <rPr>
        <sz val="14"/>
        <color indexed="8"/>
        <rFont val="Arial"/>
      </rPr>
      <t>Gesamt</t>
    </r>
  </si>
  <si>
    <r>
      <rPr>
        <sz val="14"/>
        <color indexed="8"/>
        <rFont val="Arial"/>
      </rPr>
      <t>Barwerte (</t>
    </r>
    <r>
      <rPr>
        <i/>
        <sz val="14"/>
        <color indexed="8"/>
        <rFont val="Arial"/>
      </rPr>
      <t>PV</t>
    </r>
    <r>
      <rPr>
        <sz val="14"/>
        <color indexed="8"/>
        <rFont val="Arial"/>
      </rPr>
      <t>)</t>
    </r>
  </si>
  <si>
    <t>Kapitalwert in Abhängigkeit von berücksichtigten Periodenzahl</t>
  </si>
  <si>
    <r>
      <rPr>
        <b/>
        <sz val="14"/>
        <color indexed="8"/>
        <rFont val="Arial"/>
      </rPr>
      <t>Kapitalwert (</t>
    </r>
    <r>
      <rPr>
        <i/>
        <sz val="14"/>
        <color indexed="8"/>
        <rFont val="Arial"/>
      </rPr>
      <t>NPV</t>
    </r>
    <r>
      <rPr>
        <b/>
        <sz val="14"/>
        <color indexed="8"/>
        <rFont val="Arial"/>
      </rPr>
      <t>)</t>
    </r>
  </si>
  <si>
    <t>Worst Case</t>
  </si>
  <si>
    <t>Best Case</t>
  </si>
  <si>
    <t>DATENAUFBEREITUNG NACH DIN EN 17463</t>
  </si>
  <si>
    <t xml:space="preserve">Tab. 1: Quantifizierung der Nutzen und Lasten </t>
  </si>
  <si>
    <t>(nur grüne Felder bearbeiten)</t>
  </si>
  <si>
    <t>Umfang der Last bzw. des Nutzens (nur numerisch)</t>
  </si>
  <si>
    <t>Aktuelle spezifische Kosten/Nutzen (nur numerisch)</t>
  </si>
  <si>
    <t>Preisänderungs-rate [%/a]</t>
  </si>
  <si>
    <t>Beispiel für “Last” =&gt;</t>
  </si>
  <si>
    <t>im Jahr 0</t>
  </si>
  <si>
    <t>Last</t>
  </si>
  <si>
    <t>Anschaffungskosten der PV-Module</t>
  </si>
  <si>
    <t>€/Stk.</t>
  </si>
  <si>
    <t>Wechselrichter</t>
  </si>
  <si>
    <t>Planung, Montage etc.</t>
  </si>
  <si>
    <t>Pauschale</t>
  </si>
  <si>
    <t>€</t>
  </si>
  <si>
    <t>Betriebkosten</t>
  </si>
  <si>
    <t>Stromeinsparungen</t>
  </si>
  <si>
    <t>€/kWh</t>
  </si>
  <si>
    <t>Strom zur Einspeisung</t>
  </si>
  <si>
    <t>Beitrag zum Klimaschutz</t>
  </si>
  <si>
    <t>Positive öffentliche Wirkung</t>
  </si>
  <si>
    <t>Tab. 2: Ermittlung des Zinssatzes</t>
  </si>
  <si>
    <t>Wahrscheinlicher Fall</t>
  </si>
  <si>
    <r>
      <rPr>
        <sz val="14"/>
        <color indexed="8"/>
        <rFont val="Arial"/>
      </rPr>
      <t>Eigenkapitalanteil S</t>
    </r>
    <r>
      <rPr>
        <vertAlign val="subscript"/>
        <sz val="14"/>
        <color indexed="8"/>
        <rFont val="Arial"/>
      </rPr>
      <t>eq</t>
    </r>
    <r>
      <rPr>
        <sz val="14"/>
        <color indexed="8"/>
        <rFont val="Arial"/>
      </rPr>
      <t xml:space="preserve"> (= C</t>
    </r>
    <r>
      <rPr>
        <vertAlign val="subscript"/>
        <sz val="14"/>
        <color indexed="8"/>
        <rFont val="Arial"/>
      </rPr>
      <t>eq</t>
    </r>
    <r>
      <rPr>
        <sz val="14"/>
        <color indexed="8"/>
        <rFont val="Arial"/>
      </rPr>
      <t> / C</t>
    </r>
    <r>
      <rPr>
        <vertAlign val="subscript"/>
        <sz val="14"/>
        <color indexed="8"/>
        <rFont val="Arial"/>
      </rPr>
      <t>invest</t>
    </r>
    <r>
      <rPr>
        <sz val="14"/>
        <color indexed="8"/>
        <rFont val="Arial"/>
      </rPr>
      <t>) [%]</t>
    </r>
  </si>
  <si>
    <r>
      <rPr>
        <sz val="14"/>
        <color indexed="8"/>
        <rFont val="Arial"/>
      </rPr>
      <t>Fremdkapitalanteil S</t>
    </r>
    <r>
      <rPr>
        <vertAlign val="subscript"/>
        <sz val="14"/>
        <color indexed="8"/>
        <rFont val="Arial"/>
      </rPr>
      <t>debt</t>
    </r>
    <r>
      <rPr>
        <sz val="14"/>
        <color indexed="8"/>
        <rFont val="Arial"/>
      </rPr>
      <t xml:space="preserve"> (= C</t>
    </r>
    <r>
      <rPr>
        <vertAlign val="subscript"/>
        <sz val="14"/>
        <color indexed="8"/>
        <rFont val="Arial"/>
      </rPr>
      <t>debt</t>
    </r>
    <r>
      <rPr>
        <sz val="14"/>
        <color indexed="8"/>
        <rFont val="Arial"/>
      </rPr>
      <t> / C</t>
    </r>
    <r>
      <rPr>
        <vertAlign val="subscript"/>
        <sz val="14"/>
        <color indexed="8"/>
        <rFont val="Arial"/>
      </rPr>
      <t>invest</t>
    </r>
    <r>
      <rPr>
        <sz val="14"/>
        <color indexed="8"/>
        <rFont val="Arial"/>
      </rPr>
      <t>) [%]</t>
    </r>
  </si>
  <si>
    <r>
      <rPr>
        <sz val="14"/>
        <color indexed="8"/>
        <rFont val="Arial"/>
      </rPr>
      <t>r</t>
    </r>
    <r>
      <rPr>
        <vertAlign val="subscript"/>
        <sz val="14"/>
        <color indexed="8"/>
        <rFont val="Arial"/>
      </rPr>
      <t>eq</t>
    </r>
    <r>
      <rPr>
        <sz val="14"/>
        <color indexed="8"/>
        <rFont val="Arial"/>
      </rPr>
      <t> = Zinssatz für Eigenkapital [%]</t>
    </r>
  </si>
  <si>
    <r>
      <rPr>
        <sz val="14"/>
        <color indexed="8"/>
        <rFont val="Arial"/>
      </rPr>
      <t>r</t>
    </r>
    <r>
      <rPr>
        <vertAlign val="subscript"/>
        <sz val="14"/>
        <color indexed="8"/>
        <rFont val="Arial"/>
      </rPr>
      <t>debt</t>
    </r>
    <r>
      <rPr>
        <sz val="14"/>
        <color indexed="8"/>
        <rFont val="Arial"/>
      </rPr>
      <t> = Zinssatz des Fremdkapitals [%]</t>
    </r>
  </si>
  <si>
    <r>
      <rPr>
        <sz val="14"/>
        <color indexed="8"/>
        <rFont val="Arial"/>
      </rPr>
      <t>r = gewichtete durchschnittliche Kapitalkosten WACC (= S</t>
    </r>
    <r>
      <rPr>
        <vertAlign val="subscript"/>
        <sz val="14"/>
        <color indexed="8"/>
        <rFont val="Arial"/>
      </rPr>
      <t>eq</t>
    </r>
    <r>
      <rPr>
        <sz val="14"/>
        <color indexed="8"/>
        <rFont val="Arial"/>
      </rPr>
      <t> ⋅ r</t>
    </r>
    <r>
      <rPr>
        <vertAlign val="subscript"/>
        <sz val="14"/>
        <color indexed="8"/>
        <rFont val="Arial"/>
      </rPr>
      <t>eq</t>
    </r>
    <r>
      <rPr>
        <sz val="14"/>
        <color indexed="8"/>
        <rFont val="Arial"/>
      </rPr>
      <t> + S</t>
    </r>
    <r>
      <rPr>
        <vertAlign val="subscript"/>
        <sz val="14"/>
        <color indexed="8"/>
        <rFont val="Arial"/>
      </rPr>
      <t>debt</t>
    </r>
    <r>
      <rPr>
        <sz val="14"/>
        <color indexed="8"/>
        <rFont val="Arial"/>
      </rPr>
      <t> ⋅ r</t>
    </r>
    <r>
      <rPr>
        <vertAlign val="subscript"/>
        <sz val="14"/>
        <color indexed="8"/>
        <rFont val="Arial"/>
      </rPr>
      <t>debt</t>
    </r>
    <r>
      <rPr>
        <sz val="14"/>
        <color indexed="8"/>
        <rFont val="Arial"/>
      </rPr>
      <t>)</t>
    </r>
  </si>
  <si>
    <t>Tab. 3: Parameterwerte der Szenario-Analyse</t>
  </si>
  <si>
    <r>
      <rPr>
        <sz val="14"/>
        <color indexed="8"/>
        <rFont val="Arial"/>
      </rPr>
      <t>Einstellparameter</t>
    </r>
  </si>
  <si>
    <r>
      <rPr>
        <sz val="14"/>
        <color indexed="8"/>
        <rFont val="Arial"/>
      </rPr>
      <t>Wahrscheinlicher Fall</t>
    </r>
  </si>
  <si>
    <r>
      <rPr>
        <sz val="14"/>
        <color indexed="8"/>
        <rFont val="Arial"/>
      </rPr>
      <t>Worst-Case</t>
    </r>
  </si>
  <si>
    <r>
      <rPr>
        <sz val="14"/>
        <color indexed="8"/>
        <rFont val="Arial"/>
      </rPr>
      <t>Best-Case</t>
    </r>
  </si>
  <si>
    <r>
      <rPr>
        <sz val="14"/>
        <color indexed="8"/>
        <rFont val="Arial"/>
      </rPr>
      <t>Investitionsauszahlung komplett</t>
    </r>
  </si>
  <si>
    <t>Invest € pro kWp</t>
  </si>
  <si>
    <r>
      <rPr>
        <sz val="14"/>
        <color indexed="8"/>
        <rFont val="Arial"/>
      </rPr>
      <t>Jahresbetriebskosten</t>
    </r>
  </si>
  <si>
    <t>Eigenverbrauchsquote</t>
  </si>
  <si>
    <r>
      <rPr>
        <sz val="14"/>
        <color indexed="8"/>
        <rFont val="Arial"/>
      </rPr>
      <t xml:space="preserve">Jährliche Energieeinsparung </t>
    </r>
  </si>
  <si>
    <r>
      <rPr>
        <sz val="14"/>
        <color indexed="8"/>
        <rFont val="Arial"/>
      </rPr>
      <t xml:space="preserve">Jährliche Energieeinspeisung </t>
    </r>
  </si>
  <si>
    <r>
      <rPr>
        <sz val="14"/>
        <color indexed="8"/>
        <rFont val="Arial"/>
      </rPr>
      <t>Jährliche Energiepreisschwankungen</t>
    </r>
  </si>
  <si>
    <r>
      <rPr>
        <sz val="14"/>
        <color indexed="8"/>
        <rFont val="Arial"/>
      </rPr>
      <t>Jährliche Preisschwankungsrate für relevante Dienstleistungen und Materialien</t>
    </r>
  </si>
  <si>
    <r>
      <rPr>
        <sz val="14"/>
        <color indexed="8"/>
        <rFont val="Arial"/>
      </rPr>
      <t>Laufzeit der Investition T [Jahre]</t>
    </r>
  </si>
  <si>
    <r>
      <rPr>
        <sz val="14"/>
        <color indexed="8"/>
        <rFont val="Arial"/>
      </rPr>
      <t xml:space="preserve">Kalkulationszinssatz r </t>
    </r>
  </si>
  <si>
    <t>Tab. 4a: Kapitalwertberechnung – Wahrscheinlicher Fall</t>
  </si>
  <si>
    <r>
      <rPr>
        <sz val="14"/>
        <color indexed="8"/>
        <rFont val="Arial"/>
      </rPr>
      <t>Periode t</t>
    </r>
  </si>
  <si>
    <r>
      <rPr>
        <sz val="14"/>
        <color indexed="8"/>
        <rFont val="Arial"/>
      </rPr>
      <t>Kalkulationszinssatz r</t>
    </r>
  </si>
  <si>
    <r>
      <rPr>
        <sz val="14"/>
        <color indexed="8"/>
        <rFont val="Arial"/>
      </rPr>
      <t>Jährliche Energiepreisschwankungen epr</t>
    </r>
  </si>
  <si>
    <r>
      <rPr>
        <sz val="14"/>
        <color indexed="8"/>
        <rFont val="Arial"/>
      </rPr>
      <t>Jährliche Preisschwankung, keine Energie pr</t>
    </r>
  </si>
  <si>
    <r>
      <rPr>
        <sz val="14"/>
        <color indexed="8"/>
        <rFont val="Arial"/>
      </rPr>
      <t>Aktueller spezifischer Netto-Energiepreis</t>
    </r>
  </si>
  <si>
    <t>Einspeisevergütung</t>
  </si>
  <si>
    <r>
      <rPr>
        <sz val="14"/>
        <color indexed="8"/>
        <rFont val="Arial"/>
      </rPr>
      <t>Zu berücksichtigende Perioden</t>
    </r>
  </si>
  <si>
    <r>
      <rPr>
        <sz val="14"/>
        <color indexed="8"/>
        <rFont val="Arial"/>
      </rPr>
      <t>Auszahlungen</t>
    </r>
  </si>
  <si>
    <r>
      <rPr>
        <sz val="14"/>
        <color indexed="8"/>
        <rFont val="Arial"/>
      </rPr>
      <t>Einzahlungen</t>
    </r>
  </si>
  <si>
    <r>
      <rPr>
        <sz val="14"/>
        <color indexed="8"/>
        <rFont val="Arial"/>
      </rPr>
      <t>Gesamt</t>
    </r>
  </si>
  <si>
    <r>
      <rPr>
        <sz val="14"/>
        <color indexed="8"/>
        <rFont val="Arial"/>
      </rPr>
      <t>Barwerte (PV)</t>
    </r>
  </si>
  <si>
    <r>
      <rPr>
        <sz val="14"/>
        <color indexed="8"/>
        <rFont val="Arial"/>
      </rPr>
      <t>Kapitalwert (NPV)</t>
    </r>
  </si>
  <si>
    <t>Tab. 4b: Worst Case</t>
  </si>
  <si>
    <t>Tab. 4c: Best Case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</si>
</sst>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quot; €/kWh&quot;"/>
    <numFmt numFmtId="166" formatCode="#,###&quot; kWh&quot;"/>
    <numFmt numFmtId="167" formatCode="[$€-2]\ #,##0"/>
    <numFmt numFmtId="168" formatCode="0.0"/>
    <numFmt numFmtId="169" formatCode="0.0#%"/>
    <numFmt numFmtId="170" formatCode="#,###.###&quot; €/kWh&quot;"/>
    <numFmt numFmtId="171" formatCode="#,###&quot; €&quot;"/>
    <numFmt numFmtId="172" formatCode="[$€-2]\ #,##0.00"/>
    <numFmt numFmtId="173" formatCode="#,##0.0"/>
    <numFmt numFmtId="174" formatCode="[$€-2]&quot; &quot;#,##0"/>
    <numFmt numFmtId="175" formatCode="#,##0%"/>
    <numFmt numFmtId="176" formatCode="[$€-2]&quot; &quot;#,##0.00"/>
  </numFmts>
  <fonts count="31" x14ac:knownFonts="1">
    <font>
      <sz val="10"/>
      <color indexed="8"/>
      <name val="Helvetica Neue"/>
    </font>
    <font>
      <sz val="11"/>
      <color indexed="9"/>
      <name val="Helvetica Neue"/>
    </font>
    <font>
      <sz val="20"/>
      <color indexed="10"/>
      <name val="Helvetica Neue"/>
    </font>
    <font>
      <sz val="19"/>
      <color indexed="18"/>
      <name val="Helvetica Neue"/>
    </font>
    <font>
      <sz val="20"/>
      <color indexed="8"/>
      <name val="Helvetica Neue"/>
    </font>
    <font>
      <sz val="20"/>
      <color indexed="9"/>
      <name val="Helvetica Neue"/>
    </font>
    <font>
      <b/>
      <sz val="20"/>
      <color indexed="23"/>
      <name val="Helvetica Neue"/>
    </font>
    <font>
      <b/>
      <sz val="11"/>
      <color indexed="10"/>
      <name val="Helvetica Neue"/>
    </font>
    <font>
      <b/>
      <vertAlign val="subscript"/>
      <sz val="11"/>
      <color indexed="10"/>
      <name val="Helvetica Neue"/>
    </font>
    <font>
      <b/>
      <sz val="11"/>
      <color indexed="24"/>
      <name val="Helvetica Neue"/>
    </font>
    <font>
      <b/>
      <sz val="11"/>
      <color indexed="9"/>
      <name val="Helvetica Neue"/>
    </font>
    <font>
      <sz val="11"/>
      <color indexed="25"/>
      <name val="Helvetica Neue"/>
    </font>
    <font>
      <b/>
      <sz val="14"/>
      <color indexed="8"/>
      <name val="Cambria"/>
    </font>
    <font>
      <b/>
      <sz val="14"/>
      <color indexed="8"/>
      <name val="Arial"/>
    </font>
    <font>
      <sz val="14"/>
      <color indexed="8"/>
      <name val="Arial"/>
    </font>
    <font>
      <b/>
      <sz val="14"/>
      <color indexed="8"/>
      <name val="Arial"/>
    </font>
    <font>
      <sz val="13"/>
      <color indexed="9"/>
      <name val="Arial"/>
    </font>
    <font>
      <sz val="13"/>
      <color indexed="8"/>
      <name val="Arial"/>
    </font>
    <font>
      <b/>
      <sz val="13"/>
      <color indexed="8"/>
      <name val="Arial"/>
    </font>
    <font>
      <sz val="13"/>
      <color indexed="8"/>
      <name val="Arial"/>
    </font>
    <font>
      <vertAlign val="subscript"/>
      <sz val="13"/>
      <color indexed="8"/>
      <name val="Arial"/>
    </font>
    <font>
      <i/>
      <sz val="13"/>
      <color indexed="8"/>
      <name val="Arial"/>
    </font>
    <font>
      <sz val="11"/>
      <color indexed="9"/>
      <name val="Arial"/>
    </font>
    <font>
      <sz val="14"/>
      <color indexed="8"/>
      <name val="Arial"/>
    </font>
    <font>
      <i/>
      <sz val="14"/>
      <color indexed="8"/>
      <name val="Arial"/>
    </font>
    <font>
      <sz val="12"/>
      <color indexed="8"/>
      <name val="Arial"/>
    </font>
    <font>
      <b/>
      <sz val="13"/>
      <color indexed="8"/>
      <name val="Arial"/>
    </font>
    <font>
      <sz val="14"/>
      <color indexed="9"/>
      <name val="Arial"/>
    </font>
    <font>
      <b/>
      <sz val="11"/>
      <color indexed="36"/>
      <name val="Helvetica Neue"/>
    </font>
    <font>
      <vertAlign val="subscript"/>
      <sz val="14"/>
      <color indexed="8"/>
      <name val="Arial"/>
    </font>
    <font>
      <b/>
      <sz val="14"/>
      <color indexed="40"/>
      <name val="Arial"/>
    </font>
  </fonts>
  <fills count="20">
    <fill>
      <patternFill patternType="none"/>
    </fill>
    <fill>
      <patternFill patternType="gray125"/>
    </fill>
    <fill>
      <patternFill patternType="solid">
        <fgColor indexed="11"/>
        <bgColor auto="1"/>
      </patternFill>
    </fill>
    <fill>
      <patternFill patternType="solid">
        <fgColor indexed="10"/>
        <bgColor auto="1"/>
      </patternFill>
    </fill>
    <fill>
      <patternFill patternType="solid">
        <fgColor indexed="13"/>
        <bgColor auto="1"/>
      </patternFill>
    </fill>
    <fill>
      <patternFill patternType="solid">
        <fgColor indexed="15"/>
        <bgColor auto="1"/>
      </patternFill>
    </fill>
    <fill>
      <patternFill patternType="solid">
        <fgColor indexed="19"/>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7"/>
        <bgColor auto="1"/>
      </patternFill>
    </fill>
    <fill>
      <patternFill patternType="solid">
        <fgColor indexed="28"/>
        <bgColor auto="1"/>
      </patternFill>
    </fill>
    <fill>
      <patternFill patternType="solid">
        <fgColor indexed="29"/>
        <bgColor auto="1"/>
      </patternFill>
    </fill>
    <fill>
      <patternFill patternType="solid">
        <fgColor indexed="31"/>
        <bgColor auto="1"/>
      </patternFill>
    </fill>
    <fill>
      <patternFill patternType="solid">
        <fgColor indexed="32"/>
        <bgColor auto="1"/>
      </patternFill>
    </fill>
    <fill>
      <patternFill patternType="solid">
        <fgColor indexed="34"/>
        <bgColor auto="1"/>
      </patternFill>
    </fill>
    <fill>
      <patternFill patternType="solid">
        <fgColor indexed="36"/>
        <bgColor auto="1"/>
      </patternFill>
    </fill>
    <fill>
      <patternFill patternType="solid">
        <fgColor indexed="37"/>
        <bgColor auto="1"/>
      </patternFill>
    </fill>
    <fill>
      <patternFill patternType="solid">
        <fgColor indexed="38"/>
        <bgColor auto="1"/>
      </patternFill>
    </fill>
    <fill>
      <patternFill patternType="solid">
        <fgColor indexed="41"/>
        <bgColor auto="1"/>
      </patternFill>
    </fill>
  </fills>
  <borders count="144">
    <border>
      <left/>
      <right/>
      <top/>
      <bottom/>
      <diagonal/>
    </border>
    <border>
      <left/>
      <right/>
      <top style="medium">
        <color indexed="12"/>
      </top>
      <bottom/>
      <diagonal/>
    </border>
    <border>
      <left/>
      <right/>
      <top style="medium">
        <color indexed="12"/>
      </top>
      <bottom style="thin">
        <color indexed="10"/>
      </bottom>
      <diagonal/>
    </border>
    <border>
      <left/>
      <right/>
      <top/>
      <bottom/>
      <diagonal/>
    </border>
    <border>
      <left/>
      <right/>
      <top style="thin">
        <color indexed="10"/>
      </top>
      <bottom/>
      <diagonal/>
    </border>
    <border>
      <left/>
      <right/>
      <top style="thin">
        <color indexed="10"/>
      </top>
      <bottom style="thin">
        <color indexed="10"/>
      </bottom>
      <diagonal/>
    </border>
    <border>
      <left/>
      <right/>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bottom style="thin">
        <color indexed="14"/>
      </bottom>
      <diagonal/>
    </border>
    <border>
      <left/>
      <right style="thin">
        <color indexed="10"/>
      </right>
      <top style="thin">
        <color indexed="10"/>
      </top>
      <bottom style="thin">
        <color indexed="14"/>
      </bottom>
      <diagonal/>
    </border>
    <border>
      <left style="thin">
        <color indexed="10"/>
      </left>
      <right style="thin">
        <color indexed="10"/>
      </right>
      <top style="thin">
        <color indexed="10"/>
      </top>
      <bottom style="thin">
        <color indexed="14"/>
      </bottom>
      <diagonal/>
    </border>
    <border>
      <left style="thin">
        <color indexed="10"/>
      </left>
      <right/>
      <top style="thin">
        <color indexed="10"/>
      </top>
      <bottom style="thin">
        <color indexed="14"/>
      </bottom>
      <diagonal/>
    </border>
    <border>
      <left/>
      <right/>
      <top style="thin">
        <color indexed="14"/>
      </top>
      <bottom style="thin">
        <color indexed="10"/>
      </bottom>
      <diagonal/>
    </border>
    <border>
      <left/>
      <right style="thin">
        <color indexed="10"/>
      </right>
      <top/>
      <bottom/>
      <diagonal/>
    </border>
    <border>
      <left/>
      <right style="thin">
        <color indexed="14"/>
      </right>
      <top style="thin">
        <color indexed="10"/>
      </top>
      <bottom style="thin">
        <color indexed="14"/>
      </bottom>
      <diagonal/>
    </border>
    <border>
      <left style="thin">
        <color indexed="14"/>
      </left>
      <right style="thin">
        <color indexed="14"/>
      </right>
      <top style="thin">
        <color indexed="10"/>
      </top>
      <bottom style="thin">
        <color indexed="14"/>
      </bottom>
      <diagonal/>
    </border>
    <border>
      <left style="thin">
        <color indexed="14"/>
      </left>
      <right/>
      <top style="thin">
        <color indexed="10"/>
      </top>
      <bottom style="thin">
        <color indexed="14"/>
      </bottom>
      <diagonal/>
    </border>
    <border>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top style="thin">
        <color indexed="14"/>
      </top>
      <bottom style="thin">
        <color indexed="14"/>
      </bottom>
      <diagonal/>
    </border>
    <border>
      <left/>
      <right/>
      <top/>
      <bottom style="medium">
        <color indexed="12"/>
      </bottom>
      <diagonal/>
    </border>
    <border>
      <left/>
      <right style="thin">
        <color indexed="14"/>
      </right>
      <top style="thin">
        <color indexed="14"/>
      </top>
      <bottom style="medium">
        <color indexed="12"/>
      </bottom>
      <diagonal/>
    </border>
    <border>
      <left style="thin">
        <color indexed="14"/>
      </left>
      <right style="thin">
        <color indexed="14"/>
      </right>
      <top style="thin">
        <color indexed="14"/>
      </top>
      <bottom style="medium">
        <color indexed="12"/>
      </bottom>
      <diagonal/>
    </border>
    <border>
      <left style="thin">
        <color indexed="14"/>
      </left>
      <right/>
      <top style="thin">
        <color indexed="14"/>
      </top>
      <bottom style="medium">
        <color indexed="12"/>
      </bottom>
      <diagonal/>
    </border>
    <border>
      <left style="medium">
        <color indexed="12"/>
      </left>
      <right style="thin">
        <color indexed="14"/>
      </right>
      <top style="medium">
        <color indexed="12"/>
      </top>
      <bottom style="medium">
        <color indexed="12"/>
      </bottom>
      <diagonal/>
    </border>
    <border>
      <left style="thin">
        <color indexed="14"/>
      </left>
      <right style="thin">
        <color indexed="14"/>
      </right>
      <top style="medium">
        <color indexed="12"/>
      </top>
      <bottom style="medium">
        <color indexed="12"/>
      </bottom>
      <diagonal/>
    </border>
    <border>
      <left style="thin">
        <color indexed="14"/>
      </left>
      <right style="medium">
        <color indexed="12"/>
      </right>
      <top style="medium">
        <color indexed="12"/>
      </top>
      <bottom style="medium">
        <color indexed="12"/>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14"/>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14"/>
      </top>
      <bottom style="thin">
        <color indexed="14"/>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14"/>
      </top>
      <bottom style="thin">
        <color indexed="8"/>
      </bottom>
      <diagonal/>
    </border>
    <border>
      <left style="medium">
        <color indexed="8"/>
      </left>
      <right style="thin">
        <color indexed="8"/>
      </right>
      <top style="thin">
        <color indexed="8"/>
      </top>
      <bottom style="thin">
        <color indexed="14"/>
      </bottom>
      <diagonal/>
    </border>
    <border>
      <left style="medium">
        <color indexed="8"/>
      </left>
      <right style="thin">
        <color indexed="8"/>
      </right>
      <top style="thin">
        <color indexed="14"/>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medium">
        <color indexed="8"/>
      </bottom>
      <diagonal/>
    </border>
    <border>
      <left/>
      <right/>
      <top/>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top/>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right/>
      <top style="medium">
        <color indexed="8"/>
      </top>
      <bottom style="medium">
        <color indexed="8"/>
      </bottom>
      <diagonal/>
    </border>
    <border>
      <left style="medium">
        <color indexed="8"/>
      </left>
      <right style="dotted">
        <color indexed="30"/>
      </right>
      <top style="medium">
        <color indexed="8"/>
      </top>
      <bottom style="medium">
        <color indexed="8"/>
      </bottom>
      <diagonal/>
    </border>
    <border>
      <left style="dotted">
        <color indexed="30"/>
      </left>
      <right style="dotted">
        <color indexed="30"/>
      </right>
      <top style="medium">
        <color indexed="8"/>
      </top>
      <bottom style="medium">
        <color indexed="8"/>
      </bottom>
      <diagonal/>
    </border>
    <border>
      <left style="dotted">
        <color indexed="30"/>
      </left>
      <right style="medium">
        <color indexed="8"/>
      </right>
      <top style="medium">
        <color indexed="8"/>
      </top>
      <bottom style="medium">
        <color indexed="8"/>
      </bottom>
      <diagonal/>
    </border>
    <border>
      <left style="medium">
        <color indexed="8"/>
      </left>
      <right style="medium">
        <color indexed="8"/>
      </right>
      <top style="medium">
        <color indexed="8"/>
      </top>
      <bottom style="dotted">
        <color indexed="30"/>
      </bottom>
      <diagonal/>
    </border>
    <border>
      <left style="medium">
        <color indexed="8"/>
      </left>
      <right style="dotted">
        <color indexed="30"/>
      </right>
      <top style="medium">
        <color indexed="8"/>
      </top>
      <bottom style="dotted">
        <color indexed="30"/>
      </bottom>
      <diagonal/>
    </border>
    <border>
      <left style="dotted">
        <color indexed="30"/>
      </left>
      <right style="dotted">
        <color indexed="30"/>
      </right>
      <top style="medium">
        <color indexed="8"/>
      </top>
      <bottom style="dotted">
        <color indexed="30"/>
      </bottom>
      <diagonal/>
    </border>
    <border>
      <left style="dotted">
        <color indexed="30"/>
      </left>
      <right style="medium">
        <color indexed="8"/>
      </right>
      <top style="medium">
        <color indexed="8"/>
      </top>
      <bottom style="dotted">
        <color indexed="30"/>
      </bottom>
      <diagonal/>
    </border>
    <border>
      <left style="medium">
        <color indexed="8"/>
      </left>
      <right style="medium">
        <color indexed="8"/>
      </right>
      <top style="dotted">
        <color indexed="30"/>
      </top>
      <bottom style="dotted">
        <color indexed="30"/>
      </bottom>
      <diagonal/>
    </border>
    <border>
      <left style="medium">
        <color indexed="8"/>
      </left>
      <right style="dotted">
        <color indexed="30"/>
      </right>
      <top style="dotted">
        <color indexed="30"/>
      </top>
      <bottom style="dotted">
        <color indexed="30"/>
      </bottom>
      <diagonal/>
    </border>
    <border>
      <left style="dotted">
        <color indexed="30"/>
      </left>
      <right style="dotted">
        <color indexed="30"/>
      </right>
      <top style="dotted">
        <color indexed="30"/>
      </top>
      <bottom style="dotted">
        <color indexed="30"/>
      </bottom>
      <diagonal/>
    </border>
    <border>
      <left style="dotted">
        <color indexed="30"/>
      </left>
      <right style="medium">
        <color indexed="8"/>
      </right>
      <top style="dotted">
        <color indexed="30"/>
      </top>
      <bottom style="dotted">
        <color indexed="30"/>
      </bottom>
      <diagonal/>
    </border>
    <border>
      <left style="medium">
        <color indexed="8"/>
      </left>
      <right style="medium">
        <color indexed="8"/>
      </right>
      <top style="dotted">
        <color indexed="30"/>
      </top>
      <bottom style="medium">
        <color indexed="8"/>
      </bottom>
      <diagonal/>
    </border>
    <border>
      <left style="medium">
        <color indexed="8"/>
      </left>
      <right style="dotted">
        <color indexed="30"/>
      </right>
      <top style="dotted">
        <color indexed="30"/>
      </top>
      <bottom style="medium">
        <color indexed="8"/>
      </bottom>
      <diagonal/>
    </border>
    <border>
      <left style="dotted">
        <color indexed="30"/>
      </left>
      <right style="dotted">
        <color indexed="30"/>
      </right>
      <top style="dotted">
        <color indexed="30"/>
      </top>
      <bottom style="medium">
        <color indexed="8"/>
      </bottom>
      <diagonal/>
    </border>
    <border>
      <left style="dotted">
        <color indexed="30"/>
      </left>
      <right style="medium">
        <color indexed="8"/>
      </right>
      <top style="dotted">
        <color indexed="30"/>
      </top>
      <bottom style="medium">
        <color indexed="8"/>
      </bottom>
      <diagonal/>
    </border>
    <border>
      <left style="medium">
        <color indexed="8"/>
      </left>
      <right/>
      <top/>
      <bottom style="medium">
        <color indexed="14"/>
      </bottom>
      <diagonal/>
    </border>
    <border>
      <left/>
      <right/>
      <top/>
      <bottom style="medium">
        <color indexed="14"/>
      </bottom>
      <diagonal/>
    </border>
    <border>
      <left style="medium">
        <color indexed="8"/>
      </left>
      <right/>
      <top style="medium">
        <color indexed="14"/>
      </top>
      <bottom/>
      <diagonal/>
    </border>
    <border>
      <left/>
      <right/>
      <top style="medium">
        <color indexed="14"/>
      </top>
      <bottom/>
      <diagonal/>
    </border>
    <border>
      <left/>
      <right/>
      <top style="medium">
        <color indexed="8"/>
      </top>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14"/>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medium">
        <color indexed="8"/>
      </right>
      <top style="medium">
        <color indexed="8"/>
      </top>
      <bottom/>
      <diagonal/>
    </border>
    <border>
      <left style="medium">
        <color indexed="8"/>
      </left>
      <right style="thin">
        <color indexed="8"/>
      </right>
      <top style="medium">
        <color indexed="14"/>
      </top>
      <bottom style="medium">
        <color indexed="14"/>
      </bottom>
      <diagonal/>
    </border>
    <border>
      <left style="thin">
        <color indexed="8"/>
      </left>
      <right style="thin">
        <color indexed="8"/>
      </right>
      <top/>
      <bottom/>
      <diagonal/>
    </border>
    <border>
      <left style="thin">
        <color indexed="8"/>
      </left>
      <right/>
      <top/>
      <bottom/>
      <diagonal/>
    </border>
    <border>
      <left/>
      <right style="medium">
        <color indexed="8"/>
      </right>
      <top/>
      <bottom/>
      <diagonal/>
    </border>
    <border>
      <left style="medium">
        <color indexed="8"/>
      </left>
      <right style="thin">
        <color indexed="8"/>
      </right>
      <top style="medium">
        <color indexed="14"/>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thin">
        <color indexed="8"/>
      </left>
      <right style="dotted">
        <color indexed="12"/>
      </right>
      <top style="medium">
        <color indexed="8"/>
      </top>
      <bottom style="dotted">
        <color indexed="12"/>
      </bottom>
      <diagonal/>
    </border>
    <border>
      <left style="dotted">
        <color indexed="12"/>
      </left>
      <right style="dotted">
        <color indexed="12"/>
      </right>
      <top style="medium">
        <color indexed="8"/>
      </top>
      <bottom style="dotted">
        <color indexed="12"/>
      </bottom>
      <diagonal/>
    </border>
    <border>
      <left style="dotted">
        <color indexed="12"/>
      </left>
      <right style="medium">
        <color indexed="8"/>
      </right>
      <top style="medium">
        <color indexed="8"/>
      </top>
      <bottom style="dotted">
        <color indexed="12"/>
      </bottom>
      <diagonal/>
    </border>
    <border>
      <left style="thin">
        <color indexed="8"/>
      </left>
      <right style="dotted">
        <color indexed="12"/>
      </right>
      <top style="dotted">
        <color indexed="12"/>
      </top>
      <bottom style="dotted">
        <color indexed="12"/>
      </bottom>
      <diagonal/>
    </border>
    <border>
      <left style="dotted">
        <color indexed="12"/>
      </left>
      <right style="dotted">
        <color indexed="12"/>
      </right>
      <top style="dotted">
        <color indexed="12"/>
      </top>
      <bottom style="dotted">
        <color indexed="12"/>
      </bottom>
      <diagonal/>
    </border>
    <border>
      <left style="dotted">
        <color indexed="12"/>
      </left>
      <right style="medium">
        <color indexed="8"/>
      </right>
      <top style="dotted">
        <color indexed="12"/>
      </top>
      <bottom style="dotted">
        <color indexed="12"/>
      </bottom>
      <diagonal/>
    </border>
    <border>
      <left style="thin">
        <color indexed="8"/>
      </left>
      <right style="dotted">
        <color indexed="12"/>
      </right>
      <top style="dotted">
        <color indexed="12"/>
      </top>
      <bottom style="medium">
        <color indexed="8"/>
      </bottom>
      <diagonal/>
    </border>
    <border>
      <left style="dotted">
        <color indexed="12"/>
      </left>
      <right style="dotted">
        <color indexed="12"/>
      </right>
      <top style="dotted">
        <color indexed="12"/>
      </top>
      <bottom style="medium">
        <color indexed="8"/>
      </bottom>
      <diagonal/>
    </border>
    <border>
      <left style="dotted">
        <color indexed="12"/>
      </left>
      <right style="medium">
        <color indexed="8"/>
      </right>
      <top style="dotted">
        <color indexed="12"/>
      </top>
      <bottom style="medium">
        <color indexed="8"/>
      </bottom>
      <diagonal/>
    </border>
    <border>
      <left style="thin">
        <color indexed="35"/>
      </left>
      <right/>
      <top style="thin">
        <color indexed="35"/>
      </top>
      <bottom/>
      <diagonal/>
    </border>
    <border>
      <left/>
      <right/>
      <top style="thin">
        <color indexed="35"/>
      </top>
      <bottom style="medium">
        <color indexed="8"/>
      </bottom>
      <diagonal/>
    </border>
    <border>
      <left/>
      <right/>
      <top style="thin">
        <color indexed="35"/>
      </top>
      <bottom/>
      <diagonal/>
    </border>
    <border>
      <left/>
      <right style="thin">
        <color indexed="35"/>
      </right>
      <top style="thin">
        <color indexed="35"/>
      </top>
      <bottom/>
      <diagonal/>
    </border>
    <border>
      <left style="thin">
        <color indexed="35"/>
      </left>
      <right/>
      <top/>
      <bottom/>
      <diagonal/>
    </border>
    <border>
      <left/>
      <right/>
      <top style="medium">
        <color indexed="8"/>
      </top>
      <bottom/>
      <diagonal/>
    </border>
    <border>
      <left/>
      <right style="thin">
        <color indexed="35"/>
      </right>
      <top/>
      <bottom/>
      <diagonal/>
    </border>
    <border>
      <left/>
      <right/>
      <top/>
      <bottom style="medium">
        <color indexed="8"/>
      </bottom>
      <diagonal/>
    </border>
    <border>
      <left style="thin">
        <color indexed="35"/>
      </left>
      <right style="medium">
        <color indexed="8"/>
      </right>
      <top/>
      <bottom/>
      <diagonal/>
    </border>
    <border>
      <left style="medium">
        <color indexed="8"/>
      </left>
      <right/>
      <top style="medium">
        <color indexed="8"/>
      </top>
      <bottom style="medium">
        <color indexed="8"/>
      </bottom>
      <diagonal/>
    </border>
    <border>
      <left/>
      <right style="thin">
        <color indexed="8"/>
      </right>
      <top style="medium">
        <color indexed="8"/>
      </top>
      <bottom style="medium">
        <color indexed="8"/>
      </bottom>
      <diagonal/>
    </border>
    <border>
      <left style="medium">
        <color indexed="8"/>
      </left>
      <right/>
      <top/>
      <bottom/>
      <diagonal/>
    </border>
    <border>
      <left style="medium">
        <color indexed="8"/>
      </left>
      <right style="dotted">
        <color indexed="39"/>
      </right>
      <top style="medium">
        <color indexed="8"/>
      </top>
      <bottom style="medium">
        <color indexed="8"/>
      </bottom>
      <diagonal/>
    </border>
    <border>
      <left style="dotted">
        <color indexed="39"/>
      </left>
      <right style="dotted">
        <color indexed="39"/>
      </right>
      <top style="medium">
        <color indexed="8"/>
      </top>
      <bottom style="medium">
        <color indexed="8"/>
      </bottom>
      <diagonal/>
    </border>
    <border>
      <left style="dotted">
        <color indexed="39"/>
      </left>
      <right style="medium">
        <color indexed="8"/>
      </right>
      <top style="medium">
        <color indexed="8"/>
      </top>
      <bottom style="medium">
        <color indexed="8"/>
      </bottom>
      <diagonal/>
    </border>
    <border>
      <left style="medium">
        <color indexed="8"/>
      </left>
      <right style="medium">
        <color indexed="8"/>
      </right>
      <top style="medium">
        <color indexed="8"/>
      </top>
      <bottom style="dotted">
        <color indexed="39"/>
      </bottom>
      <diagonal/>
    </border>
    <border>
      <left style="medium">
        <color indexed="8"/>
      </left>
      <right style="dotted">
        <color indexed="39"/>
      </right>
      <top style="medium">
        <color indexed="8"/>
      </top>
      <bottom style="dotted">
        <color indexed="39"/>
      </bottom>
      <diagonal/>
    </border>
    <border>
      <left style="dotted">
        <color indexed="39"/>
      </left>
      <right style="dotted">
        <color indexed="39"/>
      </right>
      <top style="medium">
        <color indexed="8"/>
      </top>
      <bottom style="dotted">
        <color indexed="39"/>
      </bottom>
      <diagonal/>
    </border>
    <border>
      <left style="dotted">
        <color indexed="39"/>
      </left>
      <right style="medium">
        <color indexed="8"/>
      </right>
      <top style="medium">
        <color indexed="8"/>
      </top>
      <bottom style="dotted">
        <color indexed="39"/>
      </bottom>
      <diagonal/>
    </border>
    <border>
      <left style="medium">
        <color indexed="8"/>
      </left>
      <right style="medium">
        <color indexed="8"/>
      </right>
      <top style="dotted">
        <color indexed="39"/>
      </top>
      <bottom style="dotted">
        <color indexed="39"/>
      </bottom>
      <diagonal/>
    </border>
    <border>
      <left style="medium">
        <color indexed="8"/>
      </left>
      <right style="dotted">
        <color indexed="39"/>
      </right>
      <top style="dotted">
        <color indexed="39"/>
      </top>
      <bottom style="dotted">
        <color indexed="39"/>
      </bottom>
      <diagonal/>
    </border>
    <border>
      <left style="dotted">
        <color indexed="39"/>
      </left>
      <right style="dotted">
        <color indexed="39"/>
      </right>
      <top style="dotted">
        <color indexed="39"/>
      </top>
      <bottom style="dotted">
        <color indexed="39"/>
      </bottom>
      <diagonal/>
    </border>
    <border>
      <left style="dotted">
        <color indexed="39"/>
      </left>
      <right style="medium">
        <color indexed="8"/>
      </right>
      <top style="dotted">
        <color indexed="39"/>
      </top>
      <bottom style="dotted">
        <color indexed="39"/>
      </bottom>
      <diagonal/>
    </border>
    <border>
      <left style="medium">
        <color indexed="8"/>
      </left>
      <right style="medium">
        <color indexed="8"/>
      </right>
      <top style="dotted">
        <color indexed="39"/>
      </top>
      <bottom style="medium">
        <color indexed="8"/>
      </bottom>
      <diagonal/>
    </border>
    <border>
      <left style="medium">
        <color indexed="8"/>
      </left>
      <right style="dotted">
        <color indexed="39"/>
      </right>
      <top style="dotted">
        <color indexed="39"/>
      </top>
      <bottom style="medium">
        <color indexed="8"/>
      </bottom>
      <diagonal/>
    </border>
    <border>
      <left style="dotted">
        <color indexed="39"/>
      </left>
      <right style="dotted">
        <color indexed="39"/>
      </right>
      <top style="dotted">
        <color indexed="39"/>
      </top>
      <bottom style="medium">
        <color indexed="8"/>
      </bottom>
      <diagonal/>
    </border>
    <border>
      <left style="dotted">
        <color indexed="39"/>
      </left>
      <right style="medium">
        <color indexed="8"/>
      </right>
      <top style="dotted">
        <color indexed="39"/>
      </top>
      <bottom style="medium">
        <color indexed="8"/>
      </bottom>
      <diagonal/>
    </border>
    <border>
      <left/>
      <right style="thin">
        <color indexed="35"/>
      </right>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medium">
        <color indexed="8"/>
      </right>
      <top style="medium">
        <color indexed="8"/>
      </top>
      <bottom/>
      <diagonal/>
    </border>
    <border>
      <left style="thin">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right style="thin">
        <color indexed="35"/>
      </right>
      <top style="medium">
        <color indexed="8"/>
      </top>
      <bottom/>
      <diagonal/>
    </border>
    <border>
      <left style="medium">
        <color indexed="8"/>
      </left>
      <right style="thin">
        <color indexed="39"/>
      </right>
      <top style="medium">
        <color indexed="14"/>
      </top>
      <bottom style="medium">
        <color indexed="14"/>
      </bottom>
      <diagonal/>
    </border>
    <border>
      <left style="thin">
        <color indexed="39"/>
      </left>
      <right style="thin">
        <color indexed="8"/>
      </right>
      <top/>
      <bottom/>
      <diagonal/>
    </border>
    <border>
      <left style="thin">
        <color indexed="35"/>
      </left>
      <right style="medium">
        <color indexed="8"/>
      </right>
      <top/>
      <bottom style="thin">
        <color indexed="35"/>
      </bottom>
      <diagonal/>
    </border>
    <border>
      <left style="thin">
        <color indexed="35"/>
      </left>
      <right/>
      <top/>
      <bottom style="thin">
        <color indexed="35"/>
      </bottom>
      <diagonal/>
    </border>
    <border>
      <left/>
      <right/>
      <top/>
      <bottom style="thin">
        <color indexed="35"/>
      </bottom>
      <diagonal/>
    </border>
    <border>
      <left/>
      <right style="thin">
        <color indexed="35"/>
      </right>
      <top/>
      <bottom style="thin">
        <color indexed="35"/>
      </bottom>
      <diagonal/>
    </border>
  </borders>
  <cellStyleXfs count="1">
    <xf numFmtId="0" fontId="0" fillId="0" borderId="0" applyNumberFormat="0" applyFill="0" applyBorder="0" applyProtection="0">
      <alignment vertical="top" wrapText="1"/>
    </xf>
  </cellStyleXfs>
  <cellXfs count="433">
    <xf numFmtId="0" fontId="0" fillId="0" borderId="0" xfId="0" applyFont="1" applyAlignment="1">
      <alignment vertical="top" wrapText="1"/>
    </xf>
    <xf numFmtId="0" fontId="1" fillId="0" borderId="0" xfId="0" applyNumberFormat="1" applyFont="1" applyAlignment="1">
      <alignment vertical="top" wrapText="1" readingOrder="1"/>
    </xf>
    <xf numFmtId="49" fontId="2" fillId="2" borderId="1" xfId="0" applyNumberFormat="1" applyFont="1" applyFill="1" applyBorder="1" applyAlignment="1">
      <alignment horizontal="left" vertical="center" wrapText="1" readingOrder="1"/>
    </xf>
    <xf numFmtId="9" fontId="2" fillId="2" borderId="2" xfId="0" applyNumberFormat="1" applyFont="1" applyFill="1" applyBorder="1" applyAlignment="1">
      <alignment horizontal="right" vertical="center" wrapText="1" readingOrder="1"/>
    </xf>
    <xf numFmtId="0" fontId="2" fillId="3" borderId="2" xfId="0" applyFont="1" applyFill="1" applyBorder="1" applyAlignment="1">
      <alignment horizontal="center" vertical="center" wrapText="1" readingOrder="1"/>
    </xf>
    <xf numFmtId="49" fontId="2" fillId="2" borderId="3" xfId="0" applyNumberFormat="1" applyFont="1" applyFill="1" applyBorder="1" applyAlignment="1">
      <alignment horizontal="left" vertical="center" wrapText="1" readingOrder="1"/>
    </xf>
    <xf numFmtId="164" fontId="2" fillId="2" borderId="4" xfId="0" applyNumberFormat="1" applyFont="1" applyFill="1" applyBorder="1" applyAlignment="1">
      <alignment horizontal="right" vertical="center" wrapText="1" readingOrder="1"/>
    </xf>
    <xf numFmtId="4" fontId="2" fillId="3" borderId="5" xfId="0" applyNumberFormat="1" applyFont="1" applyFill="1" applyBorder="1" applyAlignment="1">
      <alignment horizontal="center" vertical="center" wrapText="1" readingOrder="1"/>
    </xf>
    <xf numFmtId="165" fontId="2" fillId="2" borderId="3" xfId="0" applyNumberFormat="1" applyFont="1" applyFill="1" applyBorder="1" applyAlignment="1">
      <alignment horizontal="right" vertical="center" wrapText="1" readingOrder="1"/>
    </xf>
    <xf numFmtId="0" fontId="2" fillId="3" borderId="5" xfId="0" applyFont="1" applyFill="1" applyBorder="1" applyAlignment="1">
      <alignment horizontal="center" vertical="center" wrapText="1" readingOrder="1"/>
    </xf>
    <xf numFmtId="166" fontId="2" fillId="2" borderId="6" xfId="0" applyNumberFormat="1" applyFont="1" applyFill="1" applyBorder="1" applyAlignment="1">
      <alignment horizontal="right" vertical="center" wrapText="1" readingOrder="1"/>
    </xf>
    <xf numFmtId="167" fontId="2" fillId="2" borderId="4" xfId="0" applyNumberFormat="1" applyFont="1" applyFill="1" applyBorder="1" applyAlignment="1">
      <alignment horizontal="right" vertical="center" wrapText="1" readingOrder="1"/>
    </xf>
    <xf numFmtId="49" fontId="2" fillId="4" borderId="3" xfId="0" applyNumberFormat="1" applyFont="1" applyFill="1" applyBorder="1" applyAlignment="1">
      <alignment horizontal="left" vertical="center" wrapText="1" readingOrder="1"/>
    </xf>
    <xf numFmtId="0" fontId="2" fillId="4" borderId="3" xfId="0" applyNumberFormat="1" applyFont="1" applyFill="1" applyBorder="1" applyAlignment="1">
      <alignment horizontal="center" vertical="center" wrapText="1" readingOrder="1"/>
    </xf>
    <xf numFmtId="0" fontId="2" fillId="3" borderId="7" xfId="0" applyFont="1" applyFill="1" applyBorder="1" applyAlignment="1">
      <alignment horizontal="center" vertical="center" wrapText="1" readingOrder="1"/>
    </xf>
    <xf numFmtId="0" fontId="2" fillId="3" borderId="8" xfId="0" applyFont="1" applyFill="1" applyBorder="1" applyAlignment="1">
      <alignment horizontal="center" vertical="center" wrapText="1" readingOrder="1"/>
    </xf>
    <xf numFmtId="0" fontId="2" fillId="3" borderId="9" xfId="0" applyFont="1" applyFill="1" applyBorder="1" applyAlignment="1">
      <alignment horizontal="center" vertical="center" wrapText="1" readingOrder="1"/>
    </xf>
    <xf numFmtId="0" fontId="2" fillId="4" borderId="10" xfId="0" applyNumberFormat="1" applyFont="1" applyFill="1" applyBorder="1" applyAlignment="1">
      <alignment horizontal="center" vertical="center" wrapText="1" readingOrder="1"/>
    </xf>
    <xf numFmtId="0" fontId="2" fillId="3" borderId="11" xfId="0" applyFont="1" applyFill="1" applyBorder="1" applyAlignment="1">
      <alignment horizontal="center" vertical="center" wrapText="1" readingOrder="1"/>
    </xf>
    <xf numFmtId="0" fontId="2" fillId="3" borderId="12" xfId="0" applyFont="1" applyFill="1" applyBorder="1" applyAlignment="1">
      <alignment horizontal="center" vertical="center" wrapText="1" readingOrder="1"/>
    </xf>
    <xf numFmtId="0" fontId="2" fillId="3" borderId="13" xfId="0" applyFont="1" applyFill="1" applyBorder="1" applyAlignment="1">
      <alignment horizontal="center" vertical="center" wrapText="1" readingOrder="1"/>
    </xf>
    <xf numFmtId="49" fontId="2" fillId="5" borderId="3" xfId="0" applyNumberFormat="1" applyFont="1" applyFill="1" applyBorder="1" applyAlignment="1">
      <alignment horizontal="left" vertical="center" wrapText="1" readingOrder="1"/>
    </xf>
    <xf numFmtId="0" fontId="2" fillId="5" borderId="14" xfId="0" applyNumberFormat="1" applyFont="1" applyFill="1" applyBorder="1" applyAlignment="1">
      <alignment horizontal="center" vertical="center" wrapText="1" readingOrder="1"/>
    </xf>
    <xf numFmtId="49" fontId="3" fillId="6" borderId="15" xfId="0" applyNumberFormat="1" applyFont="1" applyFill="1" applyBorder="1" applyAlignment="1">
      <alignment horizontal="left" vertical="center" wrapText="1" readingOrder="1"/>
    </xf>
    <xf numFmtId="1" fontId="3" fillId="7" borderId="8" xfId="0" applyNumberFormat="1" applyFont="1" applyFill="1" applyBorder="1" applyAlignment="1">
      <alignment horizontal="center" vertical="center" wrapText="1" readingOrder="1"/>
    </xf>
    <xf numFmtId="165" fontId="3" fillId="5" borderId="8" xfId="0" applyNumberFormat="1" applyFont="1" applyFill="1" applyBorder="1" applyAlignment="1">
      <alignment horizontal="center" vertical="center" wrapText="1" readingOrder="1"/>
    </xf>
    <xf numFmtId="165" fontId="3" fillId="5" borderId="9" xfId="0" applyNumberFormat="1" applyFont="1" applyFill="1" applyBorder="1" applyAlignment="1">
      <alignment horizontal="center" vertical="center" wrapText="1" readingOrder="1"/>
    </xf>
    <xf numFmtId="49" fontId="4" fillId="8" borderId="3" xfId="0" applyNumberFormat="1" applyFont="1" applyFill="1" applyBorder="1" applyAlignment="1">
      <alignment horizontal="left" vertical="center" wrapText="1" readingOrder="1"/>
    </xf>
    <xf numFmtId="0" fontId="4" fillId="8" borderId="16" xfId="0" applyFont="1" applyFill="1" applyBorder="1" applyAlignment="1">
      <alignment vertical="center" wrapText="1" readingOrder="1"/>
    </xf>
    <xf numFmtId="0" fontId="4" fillId="8" borderId="17" xfId="0" applyFont="1" applyFill="1" applyBorder="1" applyAlignment="1">
      <alignment vertical="center" wrapText="1" readingOrder="1"/>
    </xf>
    <xf numFmtId="0" fontId="4" fillId="8" borderId="18" xfId="0" applyFont="1" applyFill="1" applyBorder="1" applyAlignment="1">
      <alignment vertical="center" wrapText="1" readingOrder="1"/>
    </xf>
    <xf numFmtId="49" fontId="4" fillId="3" borderId="3" xfId="0" applyNumberFormat="1" applyFont="1" applyFill="1" applyBorder="1" applyAlignment="1">
      <alignment horizontal="left" vertical="center" wrapText="1" readingOrder="1"/>
    </xf>
    <xf numFmtId="167" fontId="5" fillId="3" borderId="19" xfId="0" applyNumberFormat="1" applyFont="1" applyFill="1" applyBorder="1" applyAlignment="1">
      <alignment vertical="center" wrapText="1" readingOrder="1"/>
    </xf>
    <xf numFmtId="167" fontId="5" fillId="3" borderId="20" xfId="0" applyNumberFormat="1" applyFont="1" applyFill="1" applyBorder="1" applyAlignment="1">
      <alignment vertical="center" wrapText="1" readingOrder="1"/>
    </xf>
    <xf numFmtId="167" fontId="5" fillId="3" borderId="21" xfId="0" applyNumberFormat="1" applyFont="1" applyFill="1" applyBorder="1" applyAlignment="1">
      <alignment vertical="center" wrapText="1" readingOrder="1"/>
    </xf>
    <xf numFmtId="0" fontId="4" fillId="8" borderId="19" xfId="0" applyFont="1" applyFill="1" applyBorder="1" applyAlignment="1">
      <alignment vertical="center" wrapText="1" readingOrder="1"/>
    </xf>
    <xf numFmtId="0" fontId="4" fillId="8" borderId="20" xfId="0" applyFont="1" applyFill="1" applyBorder="1" applyAlignment="1">
      <alignment vertical="center" wrapText="1" readingOrder="1"/>
    </xf>
    <xf numFmtId="0" fontId="4" fillId="8" borderId="21" xfId="0" applyFont="1" applyFill="1" applyBorder="1" applyAlignment="1">
      <alignment vertical="center" wrapText="1" readingOrder="1"/>
    </xf>
    <xf numFmtId="49" fontId="4" fillId="3" borderId="6" xfId="0" applyNumberFormat="1" applyFont="1" applyFill="1" applyBorder="1" applyAlignment="1">
      <alignment horizontal="left" vertical="center" wrapText="1" readingOrder="1"/>
    </xf>
    <xf numFmtId="49" fontId="4" fillId="8" borderId="5" xfId="0" applyNumberFormat="1" applyFont="1" applyFill="1" applyBorder="1" applyAlignment="1">
      <alignment horizontal="left" vertical="center" wrapText="1" readingOrder="1"/>
    </xf>
    <xf numFmtId="49" fontId="2" fillId="6" borderId="5" xfId="0" applyNumberFormat="1" applyFont="1" applyFill="1" applyBorder="1" applyAlignment="1">
      <alignment horizontal="left" vertical="center" wrapText="1" readingOrder="1"/>
    </xf>
    <xf numFmtId="167" fontId="5" fillId="9" borderId="19" xfId="0" applyNumberFormat="1" applyFont="1" applyFill="1" applyBorder="1" applyAlignment="1">
      <alignment vertical="center" wrapText="1" readingOrder="1"/>
    </xf>
    <xf numFmtId="167" fontId="5" fillId="9" borderId="20" xfId="0" applyNumberFormat="1" applyFont="1" applyFill="1" applyBorder="1" applyAlignment="1">
      <alignment vertical="center" wrapText="1" readingOrder="1"/>
    </xf>
    <xf numFmtId="167" fontId="5" fillId="9" borderId="21" xfId="0" applyNumberFormat="1" applyFont="1" applyFill="1" applyBorder="1" applyAlignment="1">
      <alignment vertical="center" wrapText="1" readingOrder="1"/>
    </xf>
    <xf numFmtId="49" fontId="2" fillId="6" borderId="4" xfId="0" applyNumberFormat="1" applyFont="1" applyFill="1" applyBorder="1" applyAlignment="1">
      <alignment horizontal="left" vertical="center" wrapText="1" readingOrder="1"/>
    </xf>
    <xf numFmtId="167" fontId="4" fillId="9" borderId="20" xfId="0" applyNumberFormat="1" applyFont="1" applyFill="1" applyBorder="1" applyAlignment="1">
      <alignment vertical="center" wrapText="1" readingOrder="1"/>
    </xf>
    <xf numFmtId="167" fontId="6" fillId="9" borderId="21" xfId="0" applyNumberFormat="1" applyFont="1" applyFill="1" applyBorder="1" applyAlignment="1">
      <alignment vertical="center" wrapText="1" readingOrder="1"/>
    </xf>
    <xf numFmtId="49" fontId="2" fillId="6" borderId="22" xfId="0" applyNumberFormat="1" applyFont="1" applyFill="1" applyBorder="1" applyAlignment="1">
      <alignment horizontal="left" vertical="center" wrapText="1" readingOrder="1"/>
    </xf>
    <xf numFmtId="167" fontId="6" fillId="9" borderId="23" xfId="0" applyNumberFormat="1" applyFont="1" applyFill="1" applyBorder="1" applyAlignment="1">
      <alignment vertical="center" wrapText="1" readingOrder="1"/>
    </xf>
    <xf numFmtId="167" fontId="5" fillId="9" borderId="24" xfId="0" applyNumberFormat="1" applyFont="1" applyFill="1" applyBorder="1" applyAlignment="1">
      <alignment vertical="center" wrapText="1" readingOrder="1"/>
    </xf>
    <xf numFmtId="167" fontId="5" fillId="9" borderId="25" xfId="0" applyNumberFormat="1" applyFont="1" applyFill="1" applyBorder="1" applyAlignment="1">
      <alignment vertical="center" wrapText="1" readingOrder="1"/>
    </xf>
    <xf numFmtId="49" fontId="7" fillId="6" borderId="26" xfId="0" applyNumberFormat="1" applyFont="1" applyFill="1" applyBorder="1" applyAlignment="1">
      <alignment horizontal="left" vertical="center" wrapText="1" readingOrder="1"/>
    </xf>
    <xf numFmtId="167" fontId="1" fillId="9" borderId="27" xfId="0" applyNumberFormat="1" applyFont="1" applyFill="1" applyBorder="1" applyAlignment="1">
      <alignment vertical="center" wrapText="1" readingOrder="1"/>
    </xf>
    <xf numFmtId="167" fontId="1" fillId="9" borderId="28" xfId="0" applyNumberFormat="1" applyFont="1" applyFill="1" applyBorder="1" applyAlignment="1">
      <alignment vertical="center" wrapText="1" readingOrder="1"/>
    </xf>
    <xf numFmtId="49" fontId="9" fillId="6" borderId="26" xfId="0" applyNumberFormat="1" applyFont="1" applyFill="1" applyBorder="1" applyAlignment="1">
      <alignment horizontal="left" vertical="center" wrapText="1" readingOrder="1"/>
    </xf>
    <xf numFmtId="1" fontId="10" fillId="9" borderId="27" xfId="0" applyNumberFormat="1" applyFont="1" applyFill="1" applyBorder="1" applyAlignment="1">
      <alignment vertical="center" wrapText="1" readingOrder="1"/>
    </xf>
    <xf numFmtId="0" fontId="11" fillId="9" borderId="27" xfId="0" applyFont="1" applyFill="1" applyBorder="1" applyAlignment="1">
      <alignment vertical="center" wrapText="1" readingOrder="1"/>
    </xf>
    <xf numFmtId="0" fontId="11" fillId="9" borderId="28" xfId="0" applyFont="1" applyFill="1" applyBorder="1" applyAlignment="1">
      <alignment vertical="center" wrapText="1" readingOrder="1"/>
    </xf>
    <xf numFmtId="10" fontId="10" fillId="9" borderId="27" xfId="0" applyNumberFormat="1" applyFont="1" applyFill="1" applyBorder="1" applyAlignment="1">
      <alignment vertical="center" wrapText="1" readingOrder="1"/>
    </xf>
    <xf numFmtId="0" fontId="1" fillId="0" borderId="0" xfId="0" applyNumberFormat="1" applyFont="1" applyAlignment="1">
      <alignment vertical="top" wrapText="1" readingOrder="1"/>
    </xf>
    <xf numFmtId="49" fontId="13" fillId="10" borderId="30" xfId="0" applyNumberFormat="1" applyFont="1" applyFill="1" applyBorder="1" applyAlignment="1">
      <alignment horizontal="center" vertical="center" wrapText="1" readingOrder="1"/>
    </xf>
    <xf numFmtId="49" fontId="13" fillId="10" borderId="31" xfId="0" applyNumberFormat="1" applyFont="1" applyFill="1" applyBorder="1" applyAlignment="1">
      <alignment horizontal="center" vertical="center" wrapText="1" readingOrder="1"/>
    </xf>
    <xf numFmtId="49" fontId="13" fillId="11" borderId="29" xfId="0" applyNumberFormat="1" applyFont="1" applyFill="1" applyBorder="1" applyAlignment="1">
      <alignment horizontal="center" vertical="center" wrapText="1" readingOrder="1"/>
    </xf>
    <xf numFmtId="49" fontId="14" fillId="11" borderId="30" xfId="0" applyNumberFormat="1" applyFont="1" applyFill="1" applyBorder="1" applyAlignment="1">
      <alignment horizontal="left" vertical="center" wrapText="1" readingOrder="1"/>
    </xf>
    <xf numFmtId="3" fontId="14" fillId="11" borderId="30" xfId="0" applyNumberFormat="1" applyFont="1" applyFill="1" applyBorder="1" applyAlignment="1">
      <alignment horizontal="left" vertical="center" wrapText="1" readingOrder="1"/>
    </xf>
    <xf numFmtId="49" fontId="14" fillId="11" borderId="30" xfId="0" applyNumberFormat="1" applyFont="1" applyFill="1" applyBorder="1" applyAlignment="1">
      <alignment horizontal="center" vertical="center" wrapText="1" readingOrder="1"/>
    </xf>
    <xf numFmtId="0" fontId="14" fillId="11" borderId="30" xfId="0" applyNumberFormat="1" applyFont="1" applyFill="1" applyBorder="1" applyAlignment="1">
      <alignment horizontal="right" vertical="center" wrapText="1" readingOrder="1"/>
    </xf>
    <xf numFmtId="167" fontId="14" fillId="11" borderId="30" xfId="0" applyNumberFormat="1" applyFont="1" applyFill="1" applyBorder="1" applyAlignment="1">
      <alignment horizontal="center" vertical="center" wrapText="1" readingOrder="1"/>
    </xf>
    <xf numFmtId="49" fontId="14" fillId="11" borderId="31" xfId="0" applyNumberFormat="1" applyFont="1" applyFill="1" applyBorder="1" applyAlignment="1">
      <alignment horizontal="center" vertical="center" wrapText="1" readingOrder="1"/>
    </xf>
    <xf numFmtId="49" fontId="14" fillId="12" borderId="33" xfId="0" applyNumberFormat="1" applyFont="1" applyFill="1" applyBorder="1" applyAlignment="1">
      <alignment horizontal="left" vertical="center" wrapText="1" readingOrder="1"/>
    </xf>
    <xf numFmtId="3" fontId="14" fillId="12" borderId="33" xfId="0" applyNumberFormat="1" applyFont="1" applyFill="1" applyBorder="1" applyAlignment="1">
      <alignment horizontal="left" vertical="center" wrapText="1" readingOrder="1"/>
    </xf>
    <xf numFmtId="49" fontId="14" fillId="12" borderId="33" xfId="0" applyNumberFormat="1" applyFont="1" applyFill="1" applyBorder="1" applyAlignment="1">
      <alignment horizontal="center" vertical="center" wrapText="1" readingOrder="1"/>
    </xf>
    <xf numFmtId="0" fontId="14" fillId="12" borderId="33" xfId="0" applyNumberFormat="1" applyFont="1" applyFill="1" applyBorder="1" applyAlignment="1">
      <alignment horizontal="right" vertical="center" wrapText="1" readingOrder="1"/>
    </xf>
    <xf numFmtId="49" fontId="14" fillId="3" borderId="33" xfId="0" applyNumberFormat="1" applyFont="1" applyFill="1" applyBorder="1" applyAlignment="1">
      <alignment horizontal="left" vertical="center" wrapText="1" readingOrder="1"/>
    </xf>
    <xf numFmtId="167" fontId="14" fillId="0" borderId="33" xfId="0" applyNumberFormat="1" applyFont="1" applyBorder="1" applyAlignment="1">
      <alignment horizontal="center" vertical="center" wrapText="1" readingOrder="1"/>
    </xf>
    <xf numFmtId="49" fontId="14" fillId="12" borderId="34" xfId="0" applyNumberFormat="1" applyFont="1" applyFill="1" applyBorder="1" applyAlignment="1">
      <alignment horizontal="center" vertical="center" wrapText="1" readingOrder="1"/>
    </xf>
    <xf numFmtId="49" fontId="14" fillId="12" borderId="36" xfId="0" applyNumberFormat="1" applyFont="1" applyFill="1" applyBorder="1" applyAlignment="1">
      <alignment horizontal="left" vertical="center" wrapText="1" readingOrder="1"/>
    </xf>
    <xf numFmtId="3" fontId="14" fillId="12" borderId="36" xfId="0" applyNumberFormat="1" applyFont="1" applyFill="1" applyBorder="1" applyAlignment="1">
      <alignment horizontal="left" vertical="center" wrapText="1" readingOrder="1"/>
    </xf>
    <xf numFmtId="49" fontId="14" fillId="12" borderId="36" xfId="0" applyNumberFormat="1" applyFont="1" applyFill="1" applyBorder="1" applyAlignment="1">
      <alignment horizontal="center" vertical="center" wrapText="1" readingOrder="1"/>
    </xf>
    <xf numFmtId="0" fontId="14" fillId="12" borderId="36" xfId="0" applyNumberFormat="1" applyFont="1" applyFill="1" applyBorder="1" applyAlignment="1">
      <alignment horizontal="right" vertical="center" wrapText="1" readingOrder="1"/>
    </xf>
    <xf numFmtId="49" fontId="14" fillId="3" borderId="36" xfId="0" applyNumberFormat="1" applyFont="1" applyFill="1" applyBorder="1" applyAlignment="1">
      <alignment horizontal="left" vertical="center" wrapText="1" readingOrder="1"/>
    </xf>
    <xf numFmtId="167" fontId="14" fillId="0" borderId="36" xfId="0" applyNumberFormat="1" applyFont="1" applyBorder="1" applyAlignment="1">
      <alignment horizontal="center" vertical="center" wrapText="1" readingOrder="1"/>
    </xf>
    <xf numFmtId="49" fontId="14" fillId="12" borderId="37" xfId="0" applyNumberFormat="1" applyFont="1" applyFill="1" applyBorder="1" applyAlignment="1">
      <alignment horizontal="center" vertical="center" wrapText="1" readingOrder="1"/>
    </xf>
    <xf numFmtId="49" fontId="14" fillId="12" borderId="36" xfId="0" applyNumberFormat="1" applyFont="1" applyFill="1" applyBorder="1" applyAlignment="1">
      <alignment horizontal="right" vertical="center" wrapText="1" readingOrder="1"/>
    </xf>
    <xf numFmtId="49" fontId="14" fillId="12" borderId="41" xfId="0" applyNumberFormat="1" applyFont="1" applyFill="1" applyBorder="1" applyAlignment="1">
      <alignment horizontal="left" vertical="center" wrapText="1" readingOrder="1"/>
    </xf>
    <xf numFmtId="3" fontId="14" fillId="12" borderId="41" xfId="0" applyNumberFormat="1" applyFont="1" applyFill="1" applyBorder="1" applyAlignment="1">
      <alignment horizontal="left" vertical="center" wrapText="1" readingOrder="1"/>
    </xf>
    <xf numFmtId="49" fontId="14" fillId="12" borderId="41" xfId="0" applyNumberFormat="1" applyFont="1" applyFill="1" applyBorder="1" applyAlignment="1">
      <alignment horizontal="center" vertical="center" wrapText="1" readingOrder="1"/>
    </xf>
    <xf numFmtId="49" fontId="14" fillId="12" borderId="41" xfId="0" applyNumberFormat="1" applyFont="1" applyFill="1" applyBorder="1" applyAlignment="1">
      <alignment horizontal="right" vertical="center" wrapText="1" readingOrder="1"/>
    </xf>
    <xf numFmtId="49" fontId="14" fillId="3" borderId="41" xfId="0" applyNumberFormat="1" applyFont="1" applyFill="1" applyBorder="1" applyAlignment="1">
      <alignment horizontal="left" vertical="center" wrapText="1" readingOrder="1"/>
    </xf>
    <xf numFmtId="167" fontId="14" fillId="0" borderId="41" xfId="0" applyNumberFormat="1" applyFont="1" applyBorder="1" applyAlignment="1">
      <alignment horizontal="center" vertical="center" wrapText="1" readingOrder="1"/>
    </xf>
    <xf numFmtId="49" fontId="14" fillId="12" borderId="42" xfId="0" applyNumberFormat="1" applyFont="1" applyFill="1" applyBorder="1" applyAlignment="1">
      <alignment horizontal="center" vertical="center" wrapText="1" readingOrder="1"/>
    </xf>
    <xf numFmtId="0" fontId="1" fillId="0" borderId="0" xfId="0" applyNumberFormat="1" applyFont="1" applyAlignment="1">
      <alignment vertical="top" wrapText="1" readingOrder="1"/>
    </xf>
    <xf numFmtId="49" fontId="15" fillId="0" borderId="43" xfId="0" applyNumberFormat="1" applyFont="1" applyBorder="1" applyAlignment="1">
      <alignment horizontal="left" vertical="center" wrapText="1"/>
    </xf>
    <xf numFmtId="0" fontId="16" fillId="0" borderId="43" xfId="0" applyFont="1" applyBorder="1" applyAlignment="1">
      <alignment vertical="top" wrapText="1" readingOrder="1"/>
    </xf>
    <xf numFmtId="0" fontId="17" fillId="0" borderId="43" xfId="0" applyFont="1" applyBorder="1" applyAlignment="1">
      <alignment horizontal="center" vertical="center" wrapText="1" readingOrder="1"/>
    </xf>
    <xf numFmtId="0" fontId="17" fillId="0" borderId="44" xfId="0" applyFont="1" applyBorder="1" applyAlignment="1">
      <alignment horizontal="center" vertical="center" wrapText="1" readingOrder="1"/>
    </xf>
    <xf numFmtId="49" fontId="18" fillId="10" borderId="45" xfId="0" applyNumberFormat="1" applyFont="1" applyFill="1" applyBorder="1" applyAlignment="1">
      <alignment horizontal="left" vertical="center" wrapText="1" readingOrder="1"/>
    </xf>
    <xf numFmtId="49" fontId="18" fillId="10" borderId="46" xfId="0" applyNumberFormat="1" applyFont="1" applyFill="1" applyBorder="1" applyAlignment="1">
      <alignment horizontal="left" vertical="center" wrapText="1" readingOrder="1"/>
    </xf>
    <xf numFmtId="49" fontId="18" fillId="10" borderId="33" xfId="0" applyNumberFormat="1" applyFont="1" applyFill="1" applyBorder="1" applyAlignment="1">
      <alignment horizontal="left" vertical="center" wrapText="1" readingOrder="1"/>
    </xf>
    <xf numFmtId="49" fontId="18" fillId="10" borderId="34" xfId="0" applyNumberFormat="1" applyFont="1" applyFill="1" applyBorder="1" applyAlignment="1">
      <alignment horizontal="left" vertical="center" wrapText="1" readingOrder="1"/>
    </xf>
    <xf numFmtId="0" fontId="14" fillId="0" borderId="47" xfId="0" applyFont="1" applyBorder="1" applyAlignment="1">
      <alignment horizontal="center" vertical="center" wrapText="1" readingOrder="1"/>
    </xf>
    <xf numFmtId="0" fontId="14" fillId="0" borderId="44" xfId="0" applyFont="1" applyBorder="1" applyAlignment="1">
      <alignment horizontal="center" vertical="center" wrapText="1" readingOrder="1"/>
    </xf>
    <xf numFmtId="49" fontId="19" fillId="0" borderId="48" xfId="0" applyNumberFormat="1" applyFont="1" applyBorder="1" applyAlignment="1">
      <alignment horizontal="left" vertical="center" wrapText="1" readingOrder="1"/>
    </xf>
    <xf numFmtId="164" fontId="19" fillId="12" borderId="49" xfId="0" applyNumberFormat="1" applyFont="1" applyFill="1" applyBorder="1" applyAlignment="1">
      <alignment horizontal="left" vertical="center" wrapText="1" readingOrder="1"/>
    </xf>
    <xf numFmtId="164" fontId="19" fillId="12" borderId="36" xfId="0" applyNumberFormat="1" applyFont="1" applyFill="1" applyBorder="1" applyAlignment="1">
      <alignment horizontal="left" vertical="center" wrapText="1" readingOrder="1"/>
    </xf>
    <xf numFmtId="164" fontId="19" fillId="12" borderId="37" xfId="0" applyNumberFormat="1" applyFont="1" applyFill="1" applyBorder="1" applyAlignment="1">
      <alignment horizontal="left" vertical="center" wrapText="1" readingOrder="1"/>
    </xf>
    <xf numFmtId="49" fontId="19" fillId="0" borderId="50" xfId="0" applyNumberFormat="1" applyFont="1" applyBorder="1" applyAlignment="1">
      <alignment horizontal="left" vertical="center" wrapText="1" readingOrder="1"/>
    </xf>
    <xf numFmtId="164" fontId="19" fillId="12" borderId="51" xfId="0" applyNumberFormat="1" applyFont="1" applyFill="1" applyBorder="1" applyAlignment="1">
      <alignment horizontal="left" vertical="center" wrapText="1" readingOrder="1"/>
    </xf>
    <xf numFmtId="164" fontId="19" fillId="12" borderId="41" xfId="0" applyNumberFormat="1" applyFont="1" applyFill="1" applyBorder="1" applyAlignment="1">
      <alignment horizontal="left" vertical="center" wrapText="1" readingOrder="1"/>
    </xf>
    <xf numFmtId="164" fontId="19" fillId="12" borderId="42" xfId="0" applyNumberFormat="1" applyFont="1" applyFill="1" applyBorder="1" applyAlignment="1">
      <alignment horizontal="left" vertical="center" wrapText="1" readingOrder="1"/>
    </xf>
    <xf numFmtId="49" fontId="19" fillId="0" borderId="52" xfId="0" applyNumberFormat="1" applyFont="1" applyBorder="1" applyAlignment="1">
      <alignment horizontal="left" vertical="center" wrapText="1" readingOrder="1"/>
    </xf>
    <xf numFmtId="10" fontId="19" fillId="0" borderId="29" xfId="0" applyNumberFormat="1" applyFont="1" applyBorder="1" applyAlignment="1">
      <alignment horizontal="left" vertical="center" wrapText="1" readingOrder="1"/>
    </xf>
    <xf numFmtId="10" fontId="19" fillId="0" borderId="30" xfId="0" applyNumberFormat="1" applyFont="1" applyBorder="1" applyAlignment="1">
      <alignment horizontal="left" vertical="center" wrapText="1" readingOrder="1"/>
    </xf>
    <xf numFmtId="10" fontId="19" fillId="0" borderId="31" xfId="0" applyNumberFormat="1" applyFont="1" applyBorder="1" applyAlignment="1">
      <alignment horizontal="left" vertical="center" wrapText="1" readingOrder="1"/>
    </xf>
    <xf numFmtId="0" fontId="22" fillId="3" borderId="44" xfId="0" applyFont="1" applyFill="1" applyBorder="1" applyAlignment="1">
      <alignment vertical="top" wrapText="1" readingOrder="1"/>
    </xf>
    <xf numFmtId="49" fontId="15" fillId="0" borderId="53" xfId="0" applyNumberFormat="1" applyFont="1" applyBorder="1" applyAlignment="1">
      <alignment horizontal="left" vertical="center" wrapText="1"/>
    </xf>
    <xf numFmtId="0" fontId="16" fillId="0" borderId="53" xfId="0" applyFont="1" applyBorder="1" applyAlignment="1">
      <alignment vertical="top" wrapText="1" readingOrder="1"/>
    </xf>
    <xf numFmtId="0" fontId="17" fillId="0" borderId="53" xfId="0" applyFont="1" applyBorder="1" applyAlignment="1">
      <alignment horizontal="center" vertical="center" wrapText="1" readingOrder="1"/>
    </xf>
    <xf numFmtId="49" fontId="15" fillId="10" borderId="52" xfId="0" applyNumberFormat="1" applyFont="1" applyFill="1" applyBorder="1" applyAlignment="1">
      <alignment horizontal="center" vertical="center" wrapText="1"/>
    </xf>
    <xf numFmtId="49" fontId="15" fillId="10" borderId="54" xfId="0" applyNumberFormat="1" applyFont="1" applyFill="1" applyBorder="1" applyAlignment="1">
      <alignment horizontal="center" vertical="center" wrapText="1"/>
    </xf>
    <xf numFmtId="49" fontId="15" fillId="10" borderId="55" xfId="0" applyNumberFormat="1" applyFont="1" applyFill="1" applyBorder="1" applyAlignment="1">
      <alignment horizontal="center" vertical="center" wrapText="1"/>
    </xf>
    <xf numFmtId="49" fontId="15" fillId="10" borderId="56" xfId="0" applyNumberFormat="1" applyFont="1" applyFill="1" applyBorder="1" applyAlignment="1">
      <alignment horizontal="center" vertical="center" wrapText="1"/>
    </xf>
    <xf numFmtId="0" fontId="17" fillId="0" borderId="47" xfId="0" applyFont="1" applyBorder="1" applyAlignment="1">
      <alignment horizontal="center" vertical="center" wrapText="1" readingOrder="1"/>
    </xf>
    <xf numFmtId="49" fontId="23" fillId="0" borderId="57" xfId="0" applyNumberFormat="1" applyFont="1" applyBorder="1" applyAlignment="1">
      <alignment horizontal="left" vertical="center" wrapText="1"/>
    </xf>
    <xf numFmtId="167" fontId="23" fillId="12" borderId="58" xfId="0" applyNumberFormat="1" applyFont="1" applyFill="1" applyBorder="1" applyAlignment="1">
      <alignment horizontal="center" vertical="center" wrapText="1"/>
    </xf>
    <xf numFmtId="167" fontId="23" fillId="12" borderId="59" xfId="0" applyNumberFormat="1" applyFont="1" applyFill="1" applyBorder="1" applyAlignment="1">
      <alignment horizontal="center" vertical="center" wrapText="1"/>
    </xf>
    <xf numFmtId="167" fontId="23" fillId="12" borderId="60" xfId="0" applyNumberFormat="1" applyFont="1" applyFill="1" applyBorder="1" applyAlignment="1">
      <alignment horizontal="center" vertical="center" wrapText="1"/>
    </xf>
    <xf numFmtId="49" fontId="23" fillId="0" borderId="61" xfId="0" applyNumberFormat="1" applyFont="1" applyBorder="1" applyAlignment="1">
      <alignment horizontal="left" vertical="center" wrapText="1"/>
    </xf>
    <xf numFmtId="166" fontId="23" fillId="12" borderId="62" xfId="0" applyNumberFormat="1" applyFont="1" applyFill="1" applyBorder="1" applyAlignment="1">
      <alignment horizontal="center" vertical="center" wrapText="1"/>
    </xf>
    <xf numFmtId="166" fontId="23" fillId="12" borderId="63" xfId="0" applyNumberFormat="1" applyFont="1" applyFill="1" applyBorder="1" applyAlignment="1">
      <alignment horizontal="center" vertical="center" wrapText="1"/>
    </xf>
    <xf numFmtId="166" fontId="23" fillId="12" borderId="64" xfId="0" applyNumberFormat="1" applyFont="1" applyFill="1" applyBorder="1" applyAlignment="1">
      <alignment horizontal="center" vertical="center" wrapText="1"/>
    </xf>
    <xf numFmtId="164" fontId="23" fillId="12" borderId="62" xfId="0" applyNumberFormat="1" applyFont="1" applyFill="1" applyBorder="1" applyAlignment="1">
      <alignment horizontal="center" vertical="center" wrapText="1"/>
    </xf>
    <xf numFmtId="164" fontId="23" fillId="12" borderId="63" xfId="0" applyNumberFormat="1" applyFont="1" applyFill="1" applyBorder="1" applyAlignment="1">
      <alignment horizontal="center" vertical="center" wrapText="1"/>
    </xf>
    <xf numFmtId="164" fontId="23" fillId="12" borderId="64" xfId="0" applyNumberFormat="1" applyFont="1" applyFill="1" applyBorder="1" applyAlignment="1">
      <alignment horizontal="center" vertical="center" wrapText="1"/>
    </xf>
    <xf numFmtId="1" fontId="23" fillId="12" borderId="62" xfId="0" applyNumberFormat="1" applyFont="1" applyFill="1" applyBorder="1" applyAlignment="1">
      <alignment horizontal="center" vertical="center" wrapText="1"/>
    </xf>
    <xf numFmtId="168" fontId="23" fillId="12" borderId="63" xfId="0" applyNumberFormat="1" applyFont="1" applyFill="1" applyBorder="1" applyAlignment="1">
      <alignment horizontal="center" vertical="center" wrapText="1"/>
    </xf>
    <xf numFmtId="1" fontId="23" fillId="12" borderId="64" xfId="0" applyNumberFormat="1" applyFont="1" applyFill="1" applyBorder="1" applyAlignment="1">
      <alignment horizontal="center" vertical="center" wrapText="1"/>
    </xf>
    <xf numFmtId="49" fontId="23" fillId="0" borderId="65" xfId="0" applyNumberFormat="1" applyFont="1" applyBorder="1" applyAlignment="1">
      <alignment horizontal="left" vertical="center" wrapText="1"/>
    </xf>
    <xf numFmtId="169" fontId="23" fillId="12" borderId="66" xfId="0" applyNumberFormat="1" applyFont="1" applyFill="1" applyBorder="1" applyAlignment="1">
      <alignment horizontal="center" vertical="center" wrapText="1"/>
    </xf>
    <xf numFmtId="9" fontId="23" fillId="12" borderId="67" xfId="0" applyNumberFormat="1" applyFont="1" applyFill="1" applyBorder="1" applyAlignment="1">
      <alignment horizontal="center" vertical="center" wrapText="1"/>
    </xf>
    <xf numFmtId="9" fontId="23" fillId="12" borderId="68" xfId="0" applyNumberFormat="1" applyFont="1" applyFill="1" applyBorder="1" applyAlignment="1">
      <alignment horizontal="center" vertical="center" wrapText="1"/>
    </xf>
    <xf numFmtId="0" fontId="17" fillId="0" borderId="69" xfId="0" applyFont="1" applyBorder="1" applyAlignment="1">
      <alignment horizontal="center" vertical="center" wrapText="1" readingOrder="1"/>
    </xf>
    <xf numFmtId="0" fontId="17" fillId="0" borderId="70" xfId="0" applyFont="1" applyBorder="1" applyAlignment="1">
      <alignment horizontal="center" vertical="center" wrapText="1" readingOrder="1"/>
    </xf>
    <xf numFmtId="0" fontId="22" fillId="3" borderId="70" xfId="0" applyFont="1" applyFill="1" applyBorder="1" applyAlignment="1">
      <alignment vertical="top" wrapText="1" readingOrder="1"/>
    </xf>
    <xf numFmtId="49" fontId="15" fillId="13" borderId="52" xfId="0" applyNumberFormat="1" applyFont="1" applyFill="1" applyBorder="1" applyAlignment="1">
      <alignment horizontal="left" vertical="center" wrapText="1"/>
    </xf>
    <xf numFmtId="3" fontId="23" fillId="13" borderId="54" xfId="0" applyNumberFormat="1" applyFont="1" applyFill="1" applyBorder="1" applyAlignment="1">
      <alignment horizontal="center" vertical="center" wrapText="1"/>
    </xf>
    <xf numFmtId="3" fontId="15" fillId="13" borderId="55" xfId="0" applyNumberFormat="1" applyFont="1" applyFill="1" applyBorder="1" applyAlignment="1">
      <alignment horizontal="center" vertical="center" wrapText="1"/>
    </xf>
    <xf numFmtId="3" fontId="15" fillId="13" borderId="56" xfId="0" applyNumberFormat="1" applyFont="1" applyFill="1" applyBorder="1" applyAlignment="1">
      <alignment horizontal="center" vertical="center" wrapText="1"/>
    </xf>
    <xf numFmtId="0" fontId="17" fillId="0" borderId="71" xfId="0" applyFont="1" applyBorder="1" applyAlignment="1">
      <alignment horizontal="center" vertical="center" wrapText="1" readingOrder="1"/>
    </xf>
    <xf numFmtId="0" fontId="17" fillId="0" borderId="72" xfId="0" applyFont="1" applyBorder="1" applyAlignment="1">
      <alignment horizontal="center" vertical="center" wrapText="1" readingOrder="1"/>
    </xf>
    <xf numFmtId="0" fontId="15" fillId="0" borderId="73" xfId="0" applyFont="1" applyBorder="1" applyAlignment="1">
      <alignment horizontal="left" vertical="center" wrapText="1"/>
    </xf>
    <xf numFmtId="0" fontId="16" fillId="0" borderId="73" xfId="0" applyFont="1" applyBorder="1" applyAlignment="1">
      <alignment vertical="top" wrapText="1" readingOrder="1"/>
    </xf>
    <xf numFmtId="0" fontId="17" fillId="0" borderId="73" xfId="0" applyFont="1" applyBorder="1" applyAlignment="1">
      <alignment horizontal="center" vertical="center" wrapText="1" readingOrder="1"/>
    </xf>
    <xf numFmtId="49" fontId="15" fillId="0" borderId="29" xfId="0" applyNumberFormat="1" applyFont="1" applyBorder="1" applyAlignment="1">
      <alignment horizontal="left" vertical="center" wrapText="1"/>
    </xf>
    <xf numFmtId="0" fontId="16" fillId="0" borderId="74" xfId="0" applyFont="1" applyBorder="1" applyAlignment="1">
      <alignment vertical="top" wrapText="1" readingOrder="1"/>
    </xf>
    <xf numFmtId="0" fontId="17" fillId="0" borderId="53" xfId="0" applyNumberFormat="1" applyFont="1" applyBorder="1" applyAlignment="1">
      <alignment horizontal="center" vertical="center" wrapText="1" readingOrder="1"/>
    </xf>
    <xf numFmtId="0" fontId="17" fillId="0" borderId="75" xfId="0" applyNumberFormat="1" applyFont="1" applyBorder="1" applyAlignment="1">
      <alignment horizontal="center" vertical="center" wrapText="1" readingOrder="1"/>
    </xf>
    <xf numFmtId="49" fontId="23" fillId="0" borderId="76" xfId="0" applyNumberFormat="1" applyFont="1" applyBorder="1" applyAlignment="1">
      <alignment horizontal="left" vertical="center" wrapText="1"/>
    </xf>
    <xf numFmtId="10" fontId="17" fillId="0" borderId="77" xfId="0" applyNumberFormat="1" applyFont="1" applyBorder="1" applyAlignment="1">
      <alignment horizontal="center" vertical="center" wrapText="1" readingOrder="1"/>
    </xf>
    <xf numFmtId="0" fontId="17" fillId="0" borderId="78" xfId="0" applyFont="1" applyBorder="1" applyAlignment="1">
      <alignment horizontal="center" vertical="center" wrapText="1" readingOrder="1"/>
    </xf>
    <xf numFmtId="0" fontId="17" fillId="0" borderId="73" xfId="0" applyFont="1" applyBorder="1" applyAlignment="1">
      <alignment vertical="top" wrapText="1" readingOrder="1"/>
    </xf>
    <xf numFmtId="0" fontId="17" fillId="0" borderId="79" xfId="0" applyFont="1" applyBorder="1" applyAlignment="1">
      <alignment horizontal="center" vertical="center" wrapText="1" readingOrder="1"/>
    </xf>
    <xf numFmtId="49" fontId="23" fillId="0" borderId="80" xfId="0" applyNumberFormat="1" applyFont="1" applyBorder="1" applyAlignment="1">
      <alignment horizontal="left" vertical="center" wrapText="1"/>
    </xf>
    <xf numFmtId="164" fontId="17" fillId="0" borderId="81" xfId="0" applyNumberFormat="1" applyFont="1" applyBorder="1" applyAlignment="1">
      <alignment horizontal="center" vertical="center" wrapText="1" readingOrder="1"/>
    </xf>
    <xf numFmtId="0" fontId="17" fillId="0" borderId="82" xfId="0" applyFont="1" applyBorder="1" applyAlignment="1">
      <alignment horizontal="center" vertical="center" wrapText="1" readingOrder="1"/>
    </xf>
    <xf numFmtId="0" fontId="17" fillId="0" borderId="44" xfId="0" applyFont="1" applyBorder="1" applyAlignment="1">
      <alignment vertical="top" wrapText="1" readingOrder="1"/>
    </xf>
    <xf numFmtId="0" fontId="17" fillId="0" borderId="83" xfId="0" applyFont="1" applyBorder="1" applyAlignment="1">
      <alignment vertical="top" wrapText="1" readingOrder="1"/>
    </xf>
    <xf numFmtId="170" fontId="17" fillId="0" borderId="81" xfId="0" applyNumberFormat="1" applyFont="1" applyBorder="1" applyAlignment="1">
      <alignment horizontal="center" vertical="center" wrapText="1" readingOrder="1"/>
    </xf>
    <xf numFmtId="3" fontId="17" fillId="0" borderId="81" xfId="0" applyNumberFormat="1" applyFont="1" applyBorder="1" applyAlignment="1">
      <alignment horizontal="center" vertical="center" wrapText="1" readingOrder="1"/>
    </xf>
    <xf numFmtId="0" fontId="17" fillId="0" borderId="83" xfId="0" applyFont="1" applyBorder="1" applyAlignment="1">
      <alignment horizontal="center" vertical="center" wrapText="1" readingOrder="1"/>
    </xf>
    <xf numFmtId="49" fontId="23" fillId="0" borderId="84" xfId="0" applyNumberFormat="1" applyFont="1" applyBorder="1" applyAlignment="1">
      <alignment horizontal="left" vertical="center" wrapText="1"/>
    </xf>
    <xf numFmtId="3" fontId="17" fillId="0" borderId="85" xfId="0" applyNumberFormat="1" applyFont="1" applyBorder="1" applyAlignment="1">
      <alignment horizontal="center" vertical="center" wrapText="1" readingOrder="1"/>
    </xf>
    <xf numFmtId="0" fontId="25" fillId="0" borderId="86" xfId="0" applyNumberFormat="1" applyFont="1" applyBorder="1" applyAlignment="1">
      <alignment horizontal="center" vertical="center" wrapText="1" readingOrder="1"/>
    </xf>
    <xf numFmtId="0" fontId="25" fillId="0" borderId="43" xfId="0" applyNumberFormat="1" applyFont="1" applyBorder="1" applyAlignment="1">
      <alignment horizontal="center" vertical="center" wrapText="1" readingOrder="1"/>
    </xf>
    <xf numFmtId="0" fontId="25" fillId="0" borderId="87" xfId="0" applyNumberFormat="1" applyFont="1" applyBorder="1" applyAlignment="1">
      <alignment horizontal="center" vertical="center" wrapText="1" readingOrder="1"/>
    </xf>
    <xf numFmtId="49" fontId="15" fillId="0" borderId="76" xfId="0" applyNumberFormat="1" applyFont="1" applyBorder="1" applyAlignment="1">
      <alignment horizontal="left" vertical="center" wrapText="1"/>
    </xf>
    <xf numFmtId="49" fontId="17" fillId="0" borderId="77" xfId="0" applyNumberFormat="1" applyFont="1" applyBorder="1" applyAlignment="1">
      <alignment horizontal="center" vertical="center" wrapText="1" readingOrder="1"/>
    </xf>
    <xf numFmtId="0" fontId="17" fillId="0" borderId="88" xfId="0" applyFont="1" applyBorder="1" applyAlignment="1">
      <alignment vertical="center" wrapText="1" readingOrder="1"/>
    </xf>
    <xf numFmtId="0" fontId="17" fillId="0" borderId="89" xfId="0" applyFont="1" applyBorder="1" applyAlignment="1">
      <alignment vertical="center" wrapText="1" readingOrder="1"/>
    </xf>
    <xf numFmtId="0" fontId="17" fillId="0" borderId="90" xfId="0" applyFont="1" applyBorder="1" applyAlignment="1">
      <alignment vertical="center" wrapText="1" readingOrder="1"/>
    </xf>
    <xf numFmtId="49" fontId="23" fillId="12" borderId="80" xfId="0" applyNumberFormat="1" applyFont="1" applyFill="1" applyBorder="1" applyAlignment="1">
      <alignment horizontal="left" vertical="center" wrapText="1"/>
    </xf>
    <xf numFmtId="171" fontId="17" fillId="12" borderId="81" xfId="0" applyNumberFormat="1" applyFont="1" applyFill="1" applyBorder="1" applyAlignment="1">
      <alignment vertical="center" wrapText="1" readingOrder="1"/>
    </xf>
    <xf numFmtId="3" fontId="17" fillId="0" borderId="91" xfId="0" applyNumberFormat="1" applyFont="1" applyBorder="1" applyAlignment="1">
      <alignment vertical="center" wrapText="1" readingOrder="1"/>
    </xf>
    <xf numFmtId="3" fontId="17" fillId="0" borderId="92" xfId="0" applyNumberFormat="1" applyFont="1" applyBorder="1" applyAlignment="1">
      <alignment vertical="center" wrapText="1" readingOrder="1"/>
    </xf>
    <xf numFmtId="3" fontId="17" fillId="0" borderId="93" xfId="0" applyNumberFormat="1" applyFont="1" applyBorder="1" applyAlignment="1">
      <alignment vertical="center" wrapText="1" readingOrder="1"/>
    </xf>
    <xf numFmtId="49" fontId="23" fillId="12" borderId="84" xfId="0" applyNumberFormat="1" applyFont="1" applyFill="1" applyBorder="1" applyAlignment="1">
      <alignment horizontal="left" vertical="center" wrapText="1"/>
    </xf>
    <xf numFmtId="171" fontId="17" fillId="12" borderId="85" xfId="0" applyNumberFormat="1" applyFont="1" applyFill="1" applyBorder="1" applyAlignment="1">
      <alignment vertical="center" wrapText="1" readingOrder="1"/>
    </xf>
    <xf numFmtId="3" fontId="17" fillId="0" borderId="94" xfId="0" applyNumberFormat="1" applyFont="1" applyBorder="1" applyAlignment="1">
      <alignment vertical="center" wrapText="1" readingOrder="1"/>
    </xf>
    <xf numFmtId="3" fontId="17" fillId="0" borderId="95" xfId="0" applyNumberFormat="1" applyFont="1" applyBorder="1" applyAlignment="1">
      <alignment vertical="center" wrapText="1" readingOrder="1"/>
    </xf>
    <xf numFmtId="3" fontId="17" fillId="0" borderId="96" xfId="0" applyNumberFormat="1" applyFont="1" applyBorder="1" applyAlignment="1">
      <alignment vertical="center" wrapText="1" readingOrder="1"/>
    </xf>
    <xf numFmtId="3" fontId="17" fillId="0" borderId="88" xfId="0" applyNumberFormat="1" applyFont="1" applyBorder="1" applyAlignment="1">
      <alignment vertical="center" wrapText="1" readingOrder="1"/>
    </xf>
    <xf numFmtId="3" fontId="17" fillId="0" borderId="89" xfId="0" applyNumberFormat="1" applyFont="1" applyBorder="1" applyAlignment="1">
      <alignment vertical="center" wrapText="1" readingOrder="1"/>
    </xf>
    <xf numFmtId="3" fontId="17" fillId="0" borderId="90" xfId="0" applyNumberFormat="1" applyFont="1" applyBorder="1" applyAlignment="1">
      <alignment vertical="center" wrapText="1" readingOrder="1"/>
    </xf>
    <xf numFmtId="166" fontId="17" fillId="12" borderId="81" xfId="0" applyNumberFormat="1" applyFont="1" applyFill="1" applyBorder="1" applyAlignment="1">
      <alignment vertical="center" wrapText="1" readingOrder="1"/>
    </xf>
    <xf numFmtId="167" fontId="17" fillId="12" borderId="81" xfId="0" applyNumberFormat="1" applyFont="1" applyFill="1" applyBorder="1" applyAlignment="1">
      <alignment vertical="center" wrapText="1" readingOrder="1"/>
    </xf>
    <xf numFmtId="167" fontId="17" fillId="0" borderId="77" xfId="0" applyNumberFormat="1" applyFont="1" applyBorder="1" applyAlignment="1">
      <alignment vertical="center" wrapText="1" readingOrder="1"/>
    </xf>
    <xf numFmtId="172" fontId="16" fillId="3" borderId="85" xfId="0" applyNumberFormat="1" applyFont="1" applyFill="1" applyBorder="1" applyAlignment="1">
      <alignment vertical="top" wrapText="1" readingOrder="1"/>
    </xf>
    <xf numFmtId="49" fontId="15" fillId="14" borderId="29" xfId="0" applyNumberFormat="1" applyFont="1" applyFill="1" applyBorder="1" applyAlignment="1">
      <alignment horizontal="left" vertical="center" wrapText="1"/>
    </xf>
    <xf numFmtId="172" fontId="16" fillId="3" borderId="74" xfId="0" applyNumberFormat="1" applyFont="1" applyFill="1" applyBorder="1" applyAlignment="1">
      <alignment vertical="top" wrapText="1" readingOrder="1"/>
    </xf>
    <xf numFmtId="3" fontId="26" fillId="3" borderId="53" xfId="0" applyNumberFormat="1" applyFont="1" applyFill="1" applyBorder="1" applyAlignment="1">
      <alignment vertical="center" wrapText="1" readingOrder="1"/>
    </xf>
    <xf numFmtId="3" fontId="26" fillId="3" borderId="75" xfId="0" applyNumberFormat="1" applyFont="1" applyFill="1" applyBorder="1" applyAlignment="1">
      <alignment vertical="center" wrapText="1" readingOrder="1"/>
    </xf>
    <xf numFmtId="172" fontId="16" fillId="15" borderId="74" xfId="0" applyNumberFormat="1" applyFont="1" applyFill="1" applyBorder="1" applyAlignment="1">
      <alignment vertical="top" wrapText="1" readingOrder="1"/>
    </xf>
    <xf numFmtId="3" fontId="26" fillId="15" borderId="53" xfId="0" applyNumberFormat="1" applyFont="1" applyFill="1" applyBorder="1" applyAlignment="1">
      <alignment vertical="center" wrapText="1" readingOrder="1"/>
    </xf>
    <xf numFmtId="3" fontId="17" fillId="0" borderId="53" xfId="0" applyNumberFormat="1" applyFont="1" applyBorder="1" applyAlignment="1">
      <alignment vertical="center" wrapText="1" readingOrder="1"/>
    </xf>
    <xf numFmtId="3" fontId="17" fillId="0" borderId="75" xfId="0" applyNumberFormat="1" applyFont="1" applyBorder="1" applyAlignment="1">
      <alignment vertical="center" wrapText="1" readingOrder="1"/>
    </xf>
    <xf numFmtId="172" fontId="16" fillId="0" borderId="73" xfId="0" applyNumberFormat="1" applyFont="1" applyBorder="1" applyAlignment="1">
      <alignment vertical="top" wrapText="1" readingOrder="1"/>
    </xf>
    <xf numFmtId="171" fontId="26" fillId="0" borderId="73" xfId="0" applyNumberFormat="1" applyFont="1" applyBorder="1" applyAlignment="1">
      <alignment vertical="center" wrapText="1" readingOrder="1"/>
    </xf>
    <xf numFmtId="171" fontId="17" fillId="0" borderId="73" xfId="0" applyNumberFormat="1" applyFont="1" applyBorder="1" applyAlignment="1">
      <alignment vertical="center" wrapText="1" readingOrder="1"/>
    </xf>
    <xf numFmtId="172" fontId="16" fillId="0" borderId="43" xfId="0" applyNumberFormat="1" applyFont="1" applyBorder="1" applyAlignment="1">
      <alignment vertical="top" wrapText="1" readingOrder="1"/>
    </xf>
    <xf numFmtId="171" fontId="26" fillId="0" borderId="43" xfId="0" applyNumberFormat="1" applyFont="1" applyBorder="1" applyAlignment="1">
      <alignment vertical="center" wrapText="1" readingOrder="1"/>
    </xf>
    <xf numFmtId="171" fontId="17" fillId="0" borderId="43" xfId="0" applyNumberFormat="1" applyFont="1" applyBorder="1" applyAlignment="1">
      <alignment vertical="center" wrapText="1" readingOrder="1"/>
    </xf>
    <xf numFmtId="173" fontId="17" fillId="0" borderId="81" xfId="0" applyNumberFormat="1" applyFont="1" applyBorder="1" applyAlignment="1">
      <alignment horizontal="center" vertical="center" wrapText="1" readingOrder="1"/>
    </xf>
    <xf numFmtId="167" fontId="17" fillId="12" borderId="81" xfId="0" applyNumberFormat="1" applyFont="1" applyFill="1" applyBorder="1" applyAlignment="1">
      <alignment horizontal="right" vertical="center" wrapText="1" readingOrder="1"/>
    </xf>
    <xf numFmtId="167" fontId="17" fillId="12" borderId="85" xfId="0" applyNumberFormat="1" applyFont="1" applyFill="1" applyBorder="1" applyAlignment="1">
      <alignment vertical="center" wrapText="1" readingOrder="1"/>
    </xf>
    <xf numFmtId="171" fontId="17" fillId="12" borderId="81" xfId="0" applyNumberFormat="1" applyFont="1" applyFill="1" applyBorder="1" applyAlignment="1">
      <alignment horizontal="right" vertical="center" wrapText="1" readingOrder="1"/>
    </xf>
    <xf numFmtId="0" fontId="0" fillId="0" borderId="0" xfId="0" applyNumberFormat="1" applyFont="1" applyAlignment="1">
      <alignment vertical="top" wrapText="1"/>
    </xf>
    <xf numFmtId="0" fontId="0" fillId="3" borderId="97" xfId="0" applyFont="1" applyFill="1" applyBorder="1" applyAlignment="1">
      <alignment vertical="top" wrapText="1"/>
    </xf>
    <xf numFmtId="0" fontId="0" fillId="3" borderId="98" xfId="0" applyFont="1" applyFill="1" applyBorder="1" applyAlignment="1">
      <alignment vertical="top" wrapText="1"/>
    </xf>
    <xf numFmtId="0" fontId="0" fillId="3" borderId="99" xfId="0" applyFont="1" applyFill="1" applyBorder="1" applyAlignment="1">
      <alignment vertical="top" wrapText="1"/>
    </xf>
    <xf numFmtId="0" fontId="0" fillId="3" borderId="100" xfId="0" applyFont="1" applyFill="1" applyBorder="1" applyAlignment="1">
      <alignment vertical="top" wrapText="1"/>
    </xf>
    <xf numFmtId="0" fontId="0" fillId="3" borderId="101" xfId="0" applyFont="1" applyFill="1" applyBorder="1" applyAlignment="1">
      <alignment vertical="top" wrapText="1"/>
    </xf>
    <xf numFmtId="0" fontId="14" fillId="3" borderId="102" xfId="0" applyFont="1" applyFill="1" applyBorder="1" applyAlignment="1">
      <alignment horizontal="left" vertical="center" wrapText="1"/>
    </xf>
    <xf numFmtId="0" fontId="14" fillId="3" borderId="102" xfId="0" applyFont="1" applyFill="1" applyBorder="1" applyAlignment="1">
      <alignment horizontal="center" vertical="center" wrapText="1" readingOrder="1"/>
    </xf>
    <xf numFmtId="0" fontId="14" fillId="3" borderId="3" xfId="0" applyFont="1" applyFill="1" applyBorder="1" applyAlignment="1">
      <alignment horizontal="center" vertical="center" wrapText="1" readingOrder="1"/>
    </xf>
    <xf numFmtId="0" fontId="14" fillId="3" borderId="103" xfId="0" applyFont="1" applyFill="1" applyBorder="1" applyAlignment="1">
      <alignment horizontal="center" vertical="center" wrapText="1" readingOrder="1"/>
    </xf>
    <xf numFmtId="49" fontId="13" fillId="3" borderId="3" xfId="0" applyNumberFormat="1" applyFont="1" applyFill="1" applyBorder="1" applyAlignment="1">
      <alignment horizontal="left" vertical="center" wrapText="1"/>
    </xf>
    <xf numFmtId="0" fontId="14" fillId="3" borderId="3" xfId="0" applyFont="1" applyFill="1" applyBorder="1" applyAlignment="1">
      <alignment horizontal="left" vertical="center" wrapText="1"/>
    </xf>
    <xf numFmtId="49" fontId="13" fillId="3" borderId="104" xfId="0" applyNumberFormat="1" applyFont="1" applyFill="1" applyBorder="1" applyAlignment="1">
      <alignment horizontal="left" vertical="center" wrapText="1"/>
    </xf>
    <xf numFmtId="49" fontId="14" fillId="3" borderId="104" xfId="0" applyNumberFormat="1" applyFont="1" applyFill="1" applyBorder="1" applyAlignment="1">
      <alignment horizontal="left" vertical="center" wrapText="1"/>
    </xf>
    <xf numFmtId="0" fontId="14" fillId="3" borderId="104" xfId="0" applyFont="1" applyFill="1" applyBorder="1" applyAlignment="1">
      <alignment horizontal="center" vertical="center" wrapText="1" readingOrder="1"/>
    </xf>
    <xf numFmtId="0" fontId="0" fillId="3" borderId="105" xfId="0" applyFont="1" applyFill="1" applyBorder="1" applyAlignment="1">
      <alignment vertical="top" wrapText="1"/>
    </xf>
    <xf numFmtId="49" fontId="14" fillId="10" borderId="106" xfId="0" applyNumberFormat="1" applyFont="1" applyFill="1" applyBorder="1" applyAlignment="1">
      <alignment horizontal="center" vertical="center" wrapText="1" readingOrder="1"/>
    </xf>
    <xf numFmtId="0" fontId="14" fillId="10" borderId="107" xfId="0" applyFont="1" applyFill="1" applyBorder="1" applyAlignment="1">
      <alignment horizontal="center" vertical="center" wrapText="1" readingOrder="1"/>
    </xf>
    <xf numFmtId="49" fontId="14" fillId="10" borderId="30" xfId="0" applyNumberFormat="1" applyFont="1" applyFill="1" applyBorder="1" applyAlignment="1">
      <alignment horizontal="center" vertical="center" wrapText="1" readingOrder="1"/>
    </xf>
    <xf numFmtId="49" fontId="14" fillId="10" borderId="31" xfId="0" applyNumberFormat="1" applyFont="1" applyFill="1" applyBorder="1" applyAlignment="1">
      <alignment horizontal="center" vertical="center" wrapText="1" readingOrder="1"/>
    </xf>
    <xf numFmtId="0" fontId="14" fillId="3" borderId="108" xfId="0" applyFont="1" applyFill="1" applyBorder="1" applyAlignment="1">
      <alignment horizontal="center" vertical="center" wrapText="1" readingOrder="1"/>
    </xf>
    <xf numFmtId="49" fontId="14" fillId="11" borderId="29" xfId="0" applyNumberFormat="1" applyFont="1" applyFill="1" applyBorder="1" applyAlignment="1">
      <alignment horizontal="center" vertical="center" wrapText="1" readingOrder="1"/>
    </xf>
    <xf numFmtId="0" fontId="14" fillId="11" borderId="30" xfId="0" applyNumberFormat="1" applyFont="1" applyFill="1" applyBorder="1" applyAlignment="1">
      <alignment horizontal="center" vertical="center" wrapText="1" readingOrder="1"/>
    </xf>
    <xf numFmtId="3" fontId="14" fillId="11" borderId="30" xfId="0" applyNumberFormat="1" applyFont="1" applyFill="1" applyBorder="1" applyAlignment="1">
      <alignment horizontal="right" vertical="center" wrapText="1" readingOrder="1"/>
    </xf>
    <xf numFmtId="174" fontId="14" fillId="11" borderId="30" xfId="0" applyNumberFormat="1" applyFont="1" applyFill="1" applyBorder="1" applyAlignment="1">
      <alignment horizontal="center" vertical="center" wrapText="1" readingOrder="1"/>
    </xf>
    <xf numFmtId="49" fontId="14" fillId="17" borderId="33" xfId="0" applyNumberFormat="1" applyFont="1" applyFill="1" applyBorder="1" applyAlignment="1">
      <alignment horizontal="left" vertical="center" wrapText="1" readingOrder="1"/>
    </xf>
    <xf numFmtId="3" fontId="27" fillId="17" borderId="33" xfId="0" applyNumberFormat="1" applyFont="1" applyFill="1" applyBorder="1" applyAlignment="1">
      <alignment horizontal="center" vertical="center" wrapText="1" readingOrder="1"/>
    </xf>
    <xf numFmtId="49" fontId="27" fillId="17" borderId="33" xfId="0" applyNumberFormat="1" applyFont="1" applyFill="1" applyBorder="1" applyAlignment="1">
      <alignment horizontal="center" vertical="center" wrapText="1" readingOrder="1"/>
    </xf>
    <xf numFmtId="0" fontId="27" fillId="17" borderId="33" xfId="0" applyNumberFormat="1" applyFont="1" applyFill="1" applyBorder="1" applyAlignment="1">
      <alignment horizontal="right" vertical="center" wrapText="1" readingOrder="1"/>
    </xf>
    <xf numFmtId="49" fontId="27" fillId="17" borderId="33" xfId="0" applyNumberFormat="1" applyFont="1" applyFill="1" applyBorder="1" applyAlignment="1">
      <alignment horizontal="left" vertical="center" wrapText="1" readingOrder="1"/>
    </xf>
    <xf numFmtId="174" fontId="14" fillId="3" borderId="33" xfId="0" applyNumberFormat="1" applyFont="1" applyFill="1" applyBorder="1" applyAlignment="1">
      <alignment horizontal="right" vertical="center" wrapText="1" readingOrder="1"/>
    </xf>
    <xf numFmtId="49" fontId="14" fillId="17" borderId="33" xfId="0" applyNumberFormat="1" applyFont="1" applyFill="1" applyBorder="1" applyAlignment="1">
      <alignment horizontal="center" vertical="center" wrapText="1" readingOrder="1"/>
    </xf>
    <xf numFmtId="49" fontId="14" fillId="17" borderId="34" xfId="0" applyNumberFormat="1" applyFont="1" applyFill="1" applyBorder="1" applyAlignment="1">
      <alignment horizontal="center" vertical="center" wrapText="1" readingOrder="1"/>
    </xf>
    <xf numFmtId="49" fontId="14" fillId="17" borderId="36" xfId="0" applyNumberFormat="1" applyFont="1" applyFill="1" applyBorder="1" applyAlignment="1">
      <alignment horizontal="left" vertical="center" wrapText="1" readingOrder="1"/>
    </xf>
    <xf numFmtId="0" fontId="14" fillId="17" borderId="36" xfId="0" applyNumberFormat="1" applyFont="1" applyFill="1" applyBorder="1" applyAlignment="1">
      <alignment horizontal="center" vertical="center" wrapText="1" readingOrder="1"/>
    </xf>
    <xf numFmtId="49" fontId="14" fillId="17" borderId="36" xfId="0" applyNumberFormat="1" applyFont="1" applyFill="1" applyBorder="1" applyAlignment="1">
      <alignment horizontal="center" vertical="center" wrapText="1" readingOrder="1"/>
    </xf>
    <xf numFmtId="3" fontId="14" fillId="17" borderId="36" xfId="0" applyNumberFormat="1" applyFont="1" applyFill="1" applyBorder="1" applyAlignment="1">
      <alignment horizontal="right" vertical="center" wrapText="1" readingOrder="1"/>
    </xf>
    <xf numFmtId="49" fontId="27" fillId="17" borderId="36" xfId="0" applyNumberFormat="1" applyFont="1" applyFill="1" applyBorder="1" applyAlignment="1">
      <alignment horizontal="left" vertical="center" wrapText="1" readingOrder="1"/>
    </xf>
    <xf numFmtId="174" fontId="14" fillId="3" borderId="36" xfId="0" applyNumberFormat="1" applyFont="1" applyFill="1" applyBorder="1" applyAlignment="1">
      <alignment horizontal="right" vertical="center" wrapText="1" readingOrder="1"/>
    </xf>
    <xf numFmtId="49" fontId="14" fillId="17" borderId="37" xfId="0" applyNumberFormat="1" applyFont="1" applyFill="1" applyBorder="1" applyAlignment="1">
      <alignment horizontal="center" vertical="center" wrapText="1" readingOrder="1"/>
    </xf>
    <xf numFmtId="3" fontId="14" fillId="17" borderId="36" xfId="0" applyNumberFormat="1" applyFont="1" applyFill="1" applyBorder="1" applyAlignment="1">
      <alignment horizontal="center" vertical="center" wrapText="1" readingOrder="1"/>
    </xf>
    <xf numFmtId="0" fontId="14" fillId="17" borderId="36" xfId="0" applyNumberFormat="1" applyFont="1" applyFill="1" applyBorder="1" applyAlignment="1">
      <alignment horizontal="right" vertical="center" wrapText="1" readingOrder="1"/>
    </xf>
    <xf numFmtId="175" fontId="14" fillId="17" borderId="36" xfId="0" applyNumberFormat="1" applyFont="1" applyFill="1" applyBorder="1" applyAlignment="1">
      <alignment horizontal="center" vertical="center" wrapText="1" readingOrder="1"/>
    </xf>
    <xf numFmtId="164" fontId="14" fillId="17" borderId="36" xfId="0" applyNumberFormat="1" applyFont="1" applyFill="1" applyBorder="1" applyAlignment="1">
      <alignment horizontal="center" vertical="center" wrapText="1" readingOrder="1"/>
    </xf>
    <xf numFmtId="0" fontId="14" fillId="17" borderId="37" xfId="0" applyFont="1" applyFill="1" applyBorder="1" applyAlignment="1">
      <alignment horizontal="center" vertical="center" wrapText="1" readingOrder="1"/>
    </xf>
    <xf numFmtId="9" fontId="14" fillId="17" borderId="36" xfId="0" applyNumberFormat="1" applyFont="1" applyFill="1" applyBorder="1" applyAlignment="1">
      <alignment horizontal="center" vertical="center" wrapText="1" readingOrder="1"/>
    </xf>
    <xf numFmtId="0" fontId="14" fillId="17" borderId="36" xfId="0" applyFont="1" applyFill="1" applyBorder="1" applyAlignment="1">
      <alignment horizontal="center" vertical="center" wrapText="1" readingOrder="1"/>
    </xf>
    <xf numFmtId="0" fontId="14" fillId="17" borderId="36" xfId="0" applyFont="1" applyFill="1" applyBorder="1" applyAlignment="1">
      <alignment horizontal="right" vertical="center" wrapText="1" readingOrder="1"/>
    </xf>
    <xf numFmtId="0" fontId="14" fillId="17" borderId="36" xfId="0" applyFont="1" applyFill="1" applyBorder="1" applyAlignment="1">
      <alignment horizontal="left" vertical="center" wrapText="1" readingOrder="1"/>
    </xf>
    <xf numFmtId="49" fontId="14" fillId="3" borderId="36" xfId="0" applyNumberFormat="1" applyFont="1" applyFill="1" applyBorder="1" applyAlignment="1">
      <alignment horizontal="right" vertical="center" wrapText="1" readingOrder="1"/>
    </xf>
    <xf numFmtId="174" fontId="14" fillId="17" borderId="36" xfId="0" applyNumberFormat="1" applyFont="1" applyFill="1" applyBorder="1" applyAlignment="1">
      <alignment horizontal="left" vertical="center" wrapText="1" readingOrder="1"/>
    </xf>
    <xf numFmtId="0" fontId="14" fillId="17" borderId="41" xfId="0" applyFont="1" applyFill="1" applyBorder="1" applyAlignment="1">
      <alignment horizontal="left" vertical="center" wrapText="1" readingOrder="1"/>
    </xf>
    <xf numFmtId="0" fontId="14" fillId="17" borderId="41" xfId="0" applyFont="1" applyFill="1" applyBorder="1" applyAlignment="1">
      <alignment horizontal="center" vertical="center" wrapText="1" readingOrder="1"/>
    </xf>
    <xf numFmtId="0" fontId="14" fillId="17" borderId="41" xfId="0" applyFont="1" applyFill="1" applyBorder="1" applyAlignment="1">
      <alignment horizontal="right" vertical="center" wrapText="1" readingOrder="1"/>
    </xf>
    <xf numFmtId="174" fontId="14" fillId="3" borderId="41" xfId="0" applyNumberFormat="1" applyFont="1" applyFill="1" applyBorder="1" applyAlignment="1">
      <alignment horizontal="right" vertical="center" wrapText="1" readingOrder="1"/>
    </xf>
    <xf numFmtId="0" fontId="14" fillId="17" borderId="42" xfId="0" applyFont="1" applyFill="1" applyBorder="1" applyAlignment="1">
      <alignment horizontal="center" vertical="center" wrapText="1" readingOrder="1"/>
    </xf>
    <xf numFmtId="0" fontId="27" fillId="3" borderId="102" xfId="0" applyFont="1" applyFill="1" applyBorder="1" applyAlignment="1">
      <alignment vertical="center" wrapText="1" readingOrder="1"/>
    </xf>
    <xf numFmtId="0" fontId="27" fillId="3" borderId="104" xfId="0" applyFont="1" applyFill="1" applyBorder="1" applyAlignment="1">
      <alignment vertical="center" wrapText="1" readingOrder="1"/>
    </xf>
    <xf numFmtId="49" fontId="14" fillId="10" borderId="45" xfId="0" applyNumberFormat="1" applyFont="1" applyFill="1" applyBorder="1" applyAlignment="1">
      <alignment horizontal="left" vertical="center" wrapText="1" readingOrder="1"/>
    </xf>
    <xf numFmtId="49" fontId="14" fillId="10" borderId="46" xfId="0" applyNumberFormat="1" applyFont="1" applyFill="1" applyBorder="1" applyAlignment="1">
      <alignment horizontal="center" vertical="center" wrapText="1" readingOrder="1"/>
    </xf>
    <xf numFmtId="49" fontId="14" fillId="10" borderId="33" xfId="0" applyNumberFormat="1" applyFont="1" applyFill="1" applyBorder="1" applyAlignment="1">
      <alignment horizontal="center" vertical="center" wrapText="1" readingOrder="1"/>
    </xf>
    <xf numFmtId="49" fontId="14" fillId="10" borderId="34" xfId="0" applyNumberFormat="1" applyFont="1" applyFill="1" applyBorder="1" applyAlignment="1">
      <alignment horizontal="center" vertical="center" wrapText="1" readingOrder="1"/>
    </xf>
    <xf numFmtId="0" fontId="0" fillId="16" borderId="3" xfId="0" applyFont="1" applyFill="1" applyBorder="1" applyAlignment="1">
      <alignment vertical="top" wrapText="1"/>
    </xf>
    <xf numFmtId="49" fontId="14" fillId="3" borderId="48" xfId="0" applyNumberFormat="1" applyFont="1" applyFill="1" applyBorder="1" applyAlignment="1">
      <alignment horizontal="left" vertical="center" wrapText="1" readingOrder="1"/>
    </xf>
    <xf numFmtId="164" fontId="14" fillId="17" borderId="49" xfId="0" applyNumberFormat="1" applyFont="1" applyFill="1" applyBorder="1" applyAlignment="1">
      <alignment horizontal="center" vertical="center" wrapText="1" readingOrder="1"/>
    </xf>
    <xf numFmtId="164" fontId="14" fillId="17" borderId="37" xfId="0" applyNumberFormat="1" applyFont="1" applyFill="1" applyBorder="1" applyAlignment="1">
      <alignment horizontal="center" vertical="center" wrapText="1" readingOrder="1"/>
    </xf>
    <xf numFmtId="49" fontId="14" fillId="3" borderId="51" xfId="0" applyNumberFormat="1" applyFont="1" applyFill="1" applyBorder="1" applyAlignment="1">
      <alignment horizontal="left" vertical="center" wrapText="1" readingOrder="1"/>
    </xf>
    <xf numFmtId="49" fontId="14" fillId="3" borderId="52" xfId="0" applyNumberFormat="1" applyFont="1" applyFill="1" applyBorder="1" applyAlignment="1">
      <alignment horizontal="left" vertical="center" wrapText="1" readingOrder="1"/>
    </xf>
    <xf numFmtId="10" fontId="14" fillId="3" borderId="51" xfId="0" applyNumberFormat="1" applyFont="1" applyFill="1" applyBorder="1" applyAlignment="1">
      <alignment horizontal="center" vertical="center" wrapText="1" readingOrder="1"/>
    </xf>
    <xf numFmtId="10" fontId="14" fillId="3" borderId="41" xfId="0" applyNumberFormat="1" applyFont="1" applyFill="1" applyBorder="1" applyAlignment="1">
      <alignment horizontal="center" vertical="center" wrapText="1" readingOrder="1"/>
    </xf>
    <xf numFmtId="10" fontId="14" fillId="3" borderId="42" xfId="0" applyNumberFormat="1" applyFont="1" applyFill="1" applyBorder="1" applyAlignment="1">
      <alignment horizontal="center" vertical="center" wrapText="1" readingOrder="1"/>
    </xf>
    <xf numFmtId="0" fontId="27" fillId="16" borderId="3" xfId="0" applyFont="1" applyFill="1" applyBorder="1" applyAlignment="1">
      <alignment vertical="center" wrapText="1" readingOrder="1"/>
    </xf>
    <xf numFmtId="49" fontId="14" fillId="10" borderId="52" xfId="0" applyNumberFormat="1" applyFont="1" applyFill="1" applyBorder="1" applyAlignment="1">
      <alignment horizontal="center" vertical="center" wrapText="1"/>
    </xf>
    <xf numFmtId="49" fontId="14" fillId="10" borderId="109" xfId="0" applyNumberFormat="1" applyFont="1" applyFill="1" applyBorder="1" applyAlignment="1">
      <alignment horizontal="center" vertical="center" wrapText="1"/>
    </xf>
    <xf numFmtId="49" fontId="14" fillId="10" borderId="110" xfId="0" applyNumberFormat="1" applyFont="1" applyFill="1" applyBorder="1" applyAlignment="1">
      <alignment horizontal="center" vertical="center" wrapText="1"/>
    </xf>
    <xf numFmtId="49" fontId="14" fillId="10" borderId="111" xfId="0" applyNumberFormat="1" applyFont="1" applyFill="1" applyBorder="1" applyAlignment="1">
      <alignment horizontal="center" vertical="center" wrapText="1"/>
    </xf>
    <xf numFmtId="49" fontId="14" fillId="3" borderId="112" xfId="0" applyNumberFormat="1" applyFont="1" applyFill="1" applyBorder="1" applyAlignment="1">
      <alignment horizontal="left" vertical="center" wrapText="1"/>
    </xf>
    <xf numFmtId="174" fontId="14" fillId="17" borderId="113" xfId="0" applyNumberFormat="1" applyFont="1" applyFill="1" applyBorder="1" applyAlignment="1">
      <alignment horizontal="center" vertical="center" wrapText="1"/>
    </xf>
    <xf numFmtId="174" fontId="14" fillId="17" borderId="114" xfId="0" applyNumberFormat="1" applyFont="1" applyFill="1" applyBorder="1" applyAlignment="1">
      <alignment horizontal="center" vertical="center" wrapText="1"/>
    </xf>
    <xf numFmtId="174" fontId="14" fillId="17" borderId="115" xfId="0" applyNumberFormat="1" applyFont="1" applyFill="1" applyBorder="1" applyAlignment="1">
      <alignment horizontal="center" vertical="center" wrapText="1"/>
    </xf>
    <xf numFmtId="49" fontId="14" fillId="3" borderId="116" xfId="0" applyNumberFormat="1" applyFont="1" applyFill="1" applyBorder="1" applyAlignment="1">
      <alignment horizontal="left" vertical="center" wrapText="1"/>
    </xf>
    <xf numFmtId="3" fontId="14" fillId="17" borderId="117" xfId="0" applyNumberFormat="1" applyFont="1" applyFill="1" applyBorder="1" applyAlignment="1">
      <alignment horizontal="center" vertical="center" wrapText="1"/>
    </xf>
    <xf numFmtId="3" fontId="14" fillId="17" borderId="118" xfId="0" applyNumberFormat="1" applyFont="1" applyFill="1" applyBorder="1" applyAlignment="1">
      <alignment horizontal="center" vertical="center" wrapText="1"/>
    </xf>
    <xf numFmtId="3" fontId="14" fillId="17" borderId="119" xfId="0" applyNumberFormat="1" applyFont="1" applyFill="1" applyBorder="1" applyAlignment="1">
      <alignment horizontal="center" vertical="center" wrapText="1"/>
    </xf>
    <xf numFmtId="171" fontId="14" fillId="17" borderId="117" xfId="0" applyNumberFormat="1" applyFont="1" applyFill="1" applyBorder="1" applyAlignment="1">
      <alignment horizontal="center" vertical="center" wrapText="1"/>
    </xf>
    <xf numFmtId="174" fontId="14" fillId="17" borderId="118" xfId="0" applyNumberFormat="1" applyFont="1" applyFill="1" applyBorder="1" applyAlignment="1">
      <alignment horizontal="center" vertical="center" wrapText="1"/>
    </xf>
    <xf numFmtId="174" fontId="14" fillId="17" borderId="119" xfId="0" applyNumberFormat="1" applyFont="1" applyFill="1" applyBorder="1" applyAlignment="1">
      <alignment horizontal="center" vertical="center" wrapText="1"/>
    </xf>
    <xf numFmtId="164" fontId="14" fillId="17" borderId="117" xfId="0" applyNumberFormat="1" applyFont="1" applyFill="1" applyBorder="1" applyAlignment="1">
      <alignment horizontal="center" vertical="center" wrapText="1"/>
    </xf>
    <xf numFmtId="164" fontId="14" fillId="17" borderId="118" xfId="0" applyNumberFormat="1" applyFont="1" applyFill="1" applyBorder="1" applyAlignment="1">
      <alignment horizontal="center" vertical="center" wrapText="1"/>
    </xf>
    <xf numFmtId="9" fontId="14" fillId="17" borderId="119" xfId="0" applyNumberFormat="1" applyFont="1" applyFill="1" applyBorder="1" applyAlignment="1">
      <alignment horizontal="center" vertical="center" wrapText="1"/>
    </xf>
    <xf numFmtId="166" fontId="14" fillId="17" borderId="117" xfId="0" applyNumberFormat="1" applyFont="1" applyFill="1" applyBorder="1" applyAlignment="1">
      <alignment horizontal="center" vertical="center" wrapText="1"/>
    </xf>
    <xf numFmtId="166" fontId="14" fillId="17" borderId="118" xfId="0" applyNumberFormat="1" applyFont="1" applyFill="1" applyBorder="1" applyAlignment="1">
      <alignment horizontal="center" vertical="center" wrapText="1"/>
    </xf>
    <xf numFmtId="166" fontId="14" fillId="17" borderId="119" xfId="0" applyNumberFormat="1" applyFont="1" applyFill="1" applyBorder="1" applyAlignment="1">
      <alignment horizontal="center" vertical="center" wrapText="1"/>
    </xf>
    <xf numFmtId="164" fontId="14" fillId="17" borderId="119" xfId="0" applyNumberFormat="1" applyFont="1" applyFill="1" applyBorder="1" applyAlignment="1">
      <alignment horizontal="center" vertical="center" wrapText="1"/>
    </xf>
    <xf numFmtId="1" fontId="14" fillId="17" borderId="117" xfId="0" applyNumberFormat="1" applyFont="1" applyFill="1" applyBorder="1" applyAlignment="1">
      <alignment horizontal="center" vertical="center" wrapText="1"/>
    </xf>
    <xf numFmtId="1" fontId="14" fillId="17" borderId="118" xfId="0" applyNumberFormat="1" applyFont="1" applyFill="1" applyBorder="1" applyAlignment="1">
      <alignment horizontal="center" vertical="center" wrapText="1"/>
    </xf>
    <xf numFmtId="1" fontId="14" fillId="17" borderId="119" xfId="0" applyNumberFormat="1" applyFont="1" applyFill="1" applyBorder="1" applyAlignment="1">
      <alignment horizontal="center" vertical="center" wrapText="1"/>
    </xf>
    <xf numFmtId="49" fontId="14" fillId="3" borderId="120" xfId="0" applyNumberFormat="1" applyFont="1" applyFill="1" applyBorder="1" applyAlignment="1">
      <alignment horizontal="left" vertical="center" wrapText="1"/>
    </xf>
    <xf numFmtId="10" fontId="14" fillId="17" borderId="121" xfId="0" applyNumberFormat="1" applyFont="1" applyFill="1" applyBorder="1" applyAlignment="1">
      <alignment horizontal="center" vertical="center" wrapText="1"/>
    </xf>
    <xf numFmtId="10" fontId="14" fillId="17" borderId="122" xfId="0" applyNumberFormat="1" applyFont="1" applyFill="1" applyBorder="1" applyAlignment="1">
      <alignment horizontal="center" vertical="center" wrapText="1"/>
    </xf>
    <xf numFmtId="9" fontId="14" fillId="17" borderId="123" xfId="0" applyNumberFormat="1" applyFont="1" applyFill="1" applyBorder="1" applyAlignment="1">
      <alignment horizontal="center" vertical="center" wrapText="1"/>
    </xf>
    <xf numFmtId="49" fontId="30" fillId="13" borderId="52" xfId="0" applyNumberFormat="1" applyFont="1" applyFill="1" applyBorder="1" applyAlignment="1">
      <alignment horizontal="left" vertical="center" wrapText="1"/>
    </xf>
    <xf numFmtId="171" fontId="30" fillId="13" borderId="109" xfId="0" applyNumberFormat="1" applyFont="1" applyFill="1" applyBorder="1" applyAlignment="1">
      <alignment horizontal="center" vertical="center" wrapText="1"/>
    </xf>
    <xf numFmtId="171" fontId="30" fillId="13" borderId="110" xfId="0" applyNumberFormat="1" applyFont="1" applyFill="1" applyBorder="1" applyAlignment="1">
      <alignment horizontal="center" vertical="center" wrapText="1"/>
    </xf>
    <xf numFmtId="171" fontId="30" fillId="13" borderId="111" xfId="0" applyNumberFormat="1" applyFont="1" applyFill="1" applyBorder="1" applyAlignment="1">
      <alignment horizontal="center" vertical="center" wrapText="1"/>
    </xf>
    <xf numFmtId="0" fontId="30" fillId="3" borderId="108" xfId="0" applyFont="1" applyFill="1" applyBorder="1" applyAlignment="1">
      <alignment horizontal="center" vertical="center" wrapText="1" readingOrder="1"/>
    </xf>
    <xf numFmtId="0" fontId="30" fillId="3" borderId="3" xfId="0" applyFont="1" applyFill="1" applyBorder="1" applyAlignment="1">
      <alignment horizontal="center" vertical="center" wrapText="1" readingOrder="1"/>
    </xf>
    <xf numFmtId="0" fontId="30" fillId="3" borderId="103" xfId="0" applyFont="1" applyFill="1" applyBorder="1" applyAlignment="1">
      <alignment horizontal="center" vertical="center" wrapText="1" readingOrder="1"/>
    </xf>
    <xf numFmtId="0" fontId="14" fillId="3" borderId="124" xfId="0" applyFont="1" applyFill="1" applyBorder="1" applyAlignment="1">
      <alignment horizontal="center" vertical="center" wrapText="1" readingOrder="1"/>
    </xf>
    <xf numFmtId="49" fontId="14" fillId="3" borderId="29" xfId="0" applyNumberFormat="1" applyFont="1" applyFill="1" applyBorder="1" applyAlignment="1">
      <alignment horizontal="left" vertical="center" wrapText="1"/>
    </xf>
    <xf numFmtId="0" fontId="27" fillId="3" borderId="125" xfId="0" applyFont="1" applyFill="1" applyBorder="1" applyAlignment="1">
      <alignment vertical="center" wrapText="1" readingOrder="1"/>
    </xf>
    <xf numFmtId="0" fontId="14" fillId="3" borderId="126" xfId="0" applyNumberFormat="1" applyFont="1" applyFill="1" applyBorder="1" applyAlignment="1">
      <alignment horizontal="center" vertical="center" wrapText="1" readingOrder="1"/>
    </xf>
    <xf numFmtId="0" fontId="14" fillId="3" borderId="127" xfId="0" applyNumberFormat="1" applyFont="1" applyFill="1" applyBorder="1" applyAlignment="1">
      <alignment horizontal="center" vertical="center" wrapText="1" readingOrder="1"/>
    </xf>
    <xf numFmtId="49" fontId="14" fillId="3" borderId="76" xfId="0" applyNumberFormat="1" applyFont="1" applyFill="1" applyBorder="1" applyAlignment="1">
      <alignment horizontal="left" vertical="center" wrapText="1"/>
    </xf>
    <xf numFmtId="10" fontId="14" fillId="17" borderId="128" xfId="0" applyNumberFormat="1" applyFont="1" applyFill="1" applyBorder="1" applyAlignment="1">
      <alignment horizontal="center" vertical="center" wrapText="1" readingOrder="1"/>
    </xf>
    <xf numFmtId="0" fontId="14" fillId="3" borderId="129" xfId="0" applyFont="1" applyFill="1" applyBorder="1" applyAlignment="1">
      <alignment horizontal="center" vertical="center" wrapText="1" readingOrder="1"/>
    </xf>
    <xf numFmtId="0" fontId="14" fillId="3" borderId="102" xfId="0" applyFont="1" applyFill="1" applyBorder="1" applyAlignment="1">
      <alignment vertical="center" wrapText="1" readingOrder="1"/>
    </xf>
    <xf numFmtId="0" fontId="14" fillId="3" borderId="130" xfId="0" applyFont="1" applyFill="1" applyBorder="1" applyAlignment="1">
      <alignment horizontal="center" vertical="center" wrapText="1" readingOrder="1"/>
    </xf>
    <xf numFmtId="49" fontId="14" fillId="3" borderId="80" xfId="0" applyNumberFormat="1" applyFont="1" applyFill="1" applyBorder="1" applyAlignment="1">
      <alignment horizontal="left" vertical="center" wrapText="1"/>
    </xf>
    <xf numFmtId="164" fontId="14" fillId="17" borderId="131" xfId="0" applyNumberFormat="1" applyFont="1" applyFill="1" applyBorder="1" applyAlignment="1">
      <alignment horizontal="center" vertical="center" wrapText="1" readingOrder="1"/>
    </xf>
    <xf numFmtId="0" fontId="14" fillId="3" borderId="132" xfId="0" applyFont="1" applyFill="1" applyBorder="1" applyAlignment="1">
      <alignment horizontal="center" vertical="center" wrapText="1" readingOrder="1"/>
    </xf>
    <xf numFmtId="0" fontId="14" fillId="3" borderId="3" xfId="0" applyFont="1" applyFill="1" applyBorder="1" applyAlignment="1">
      <alignment vertical="center" wrapText="1" readingOrder="1"/>
    </xf>
    <xf numFmtId="0" fontId="14" fillId="3" borderId="3" xfId="0" applyFont="1" applyFill="1" applyBorder="1" applyAlignment="1">
      <alignment horizontal="left" vertical="center" wrapText="1" readingOrder="1"/>
    </xf>
    <xf numFmtId="0" fontId="14" fillId="3" borderId="133" xfId="0" applyFont="1" applyFill="1" applyBorder="1" applyAlignment="1">
      <alignment vertical="center" wrapText="1" readingOrder="1"/>
    </xf>
    <xf numFmtId="170" fontId="14" fillId="17" borderId="131" xfId="0" applyNumberFormat="1" applyFont="1" applyFill="1" applyBorder="1" applyAlignment="1">
      <alignment horizontal="center" vertical="center" wrapText="1" readingOrder="1"/>
    </xf>
    <xf numFmtId="3" fontId="14" fillId="17" borderId="131" xfId="0" applyNumberFormat="1" applyFont="1" applyFill="1" applyBorder="1" applyAlignment="1">
      <alignment horizontal="center" vertical="center" wrapText="1" readingOrder="1"/>
    </xf>
    <xf numFmtId="0" fontId="14" fillId="3" borderId="133" xfId="0" applyFont="1" applyFill="1" applyBorder="1" applyAlignment="1">
      <alignment horizontal="center" vertical="center" wrapText="1" readingOrder="1"/>
    </xf>
    <xf numFmtId="49" fontId="14" fillId="3" borderId="84" xfId="0" applyNumberFormat="1" applyFont="1" applyFill="1" applyBorder="1" applyAlignment="1">
      <alignment horizontal="left" vertical="center" wrapText="1"/>
    </xf>
    <xf numFmtId="3" fontId="14" fillId="3" borderId="134" xfId="0" applyNumberFormat="1" applyFont="1" applyFill="1" applyBorder="1" applyAlignment="1">
      <alignment horizontal="center" vertical="center" wrapText="1" readingOrder="1"/>
    </xf>
    <xf numFmtId="0" fontId="14" fillId="3" borderId="135" xfId="0" applyNumberFormat="1" applyFont="1" applyFill="1" applyBorder="1" applyAlignment="1">
      <alignment horizontal="center" vertical="center" wrapText="1" readingOrder="1"/>
    </xf>
    <xf numFmtId="0" fontId="14" fillId="3" borderId="104" xfId="0" applyNumberFormat="1" applyFont="1" applyFill="1" applyBorder="1" applyAlignment="1">
      <alignment horizontal="center" vertical="center" wrapText="1" readingOrder="1"/>
    </xf>
    <xf numFmtId="0" fontId="14" fillId="3" borderId="136" xfId="0" applyNumberFormat="1" applyFont="1" applyFill="1" applyBorder="1" applyAlignment="1">
      <alignment horizontal="center" vertical="center" wrapText="1" readingOrder="1"/>
    </xf>
    <xf numFmtId="49" fontId="14" fillId="3" borderId="128" xfId="0" applyNumberFormat="1" applyFont="1" applyFill="1" applyBorder="1" applyAlignment="1">
      <alignment horizontal="center" vertical="center" wrapText="1" readingOrder="1"/>
    </xf>
    <xf numFmtId="0" fontId="14" fillId="3" borderId="88" xfId="0" applyFont="1" applyFill="1" applyBorder="1" applyAlignment="1">
      <alignment vertical="center" wrapText="1" readingOrder="1"/>
    </xf>
    <xf numFmtId="0" fontId="14" fillId="3" borderId="89" xfId="0" applyFont="1" applyFill="1" applyBorder="1" applyAlignment="1">
      <alignment vertical="center" wrapText="1" readingOrder="1"/>
    </xf>
    <xf numFmtId="0" fontId="14" fillId="3" borderId="90" xfId="0" applyFont="1" applyFill="1" applyBorder="1" applyAlignment="1">
      <alignment vertical="center" wrapText="1" readingOrder="1"/>
    </xf>
    <xf numFmtId="49" fontId="14" fillId="17" borderId="80" xfId="0" applyNumberFormat="1" applyFont="1" applyFill="1" applyBorder="1" applyAlignment="1">
      <alignment horizontal="left" vertical="center" wrapText="1"/>
    </xf>
    <xf numFmtId="171" fontId="14" fillId="17" borderId="131" xfId="0" applyNumberFormat="1" applyFont="1" applyFill="1" applyBorder="1" applyAlignment="1">
      <alignment vertical="center" wrapText="1" readingOrder="1"/>
    </xf>
    <xf numFmtId="3" fontId="14" fillId="3" borderId="91" xfId="0" applyNumberFormat="1" applyFont="1" applyFill="1" applyBorder="1" applyAlignment="1">
      <alignment vertical="center" wrapText="1" readingOrder="1"/>
    </xf>
    <xf numFmtId="3" fontId="14" fillId="3" borderId="92" xfId="0" applyNumberFormat="1" applyFont="1" applyFill="1" applyBorder="1" applyAlignment="1">
      <alignment vertical="center" wrapText="1" readingOrder="1"/>
    </xf>
    <xf numFmtId="3" fontId="14" fillId="3" borderId="93" xfId="0" applyNumberFormat="1" applyFont="1" applyFill="1" applyBorder="1" applyAlignment="1">
      <alignment vertical="center" wrapText="1" readingOrder="1"/>
    </xf>
    <xf numFmtId="0" fontId="14" fillId="17" borderId="84" xfId="0" applyFont="1" applyFill="1" applyBorder="1" applyAlignment="1">
      <alignment horizontal="left" vertical="center" wrapText="1"/>
    </xf>
    <xf numFmtId="171" fontId="14" fillId="17" borderId="134" xfId="0" applyNumberFormat="1" applyFont="1" applyFill="1" applyBorder="1" applyAlignment="1">
      <alignment vertical="center" wrapText="1" readingOrder="1"/>
    </xf>
    <xf numFmtId="3" fontId="14" fillId="3" borderId="94" xfId="0" applyNumberFormat="1" applyFont="1" applyFill="1" applyBorder="1" applyAlignment="1">
      <alignment vertical="center" wrapText="1" readingOrder="1"/>
    </xf>
    <xf numFmtId="3" fontId="14" fillId="3" borderId="95" xfId="0" applyNumberFormat="1" applyFont="1" applyFill="1" applyBorder="1" applyAlignment="1">
      <alignment vertical="center" wrapText="1" readingOrder="1"/>
    </xf>
    <xf numFmtId="3" fontId="14" fillId="3" borderId="96" xfId="0" applyNumberFormat="1" applyFont="1" applyFill="1" applyBorder="1" applyAlignment="1">
      <alignment vertical="center" wrapText="1" readingOrder="1"/>
    </xf>
    <xf numFmtId="3" fontId="14" fillId="3" borderId="88" xfId="0" applyNumberFormat="1" applyFont="1" applyFill="1" applyBorder="1" applyAlignment="1">
      <alignment vertical="center" wrapText="1" readingOrder="1"/>
    </xf>
    <xf numFmtId="3" fontId="14" fillId="3" borderId="89" xfId="0" applyNumberFormat="1" applyFont="1" applyFill="1" applyBorder="1" applyAlignment="1">
      <alignment vertical="center" wrapText="1" readingOrder="1"/>
    </xf>
    <xf numFmtId="3" fontId="14" fillId="3" borderId="90" xfId="0" applyNumberFormat="1" applyFont="1" applyFill="1" applyBorder="1" applyAlignment="1">
      <alignment vertical="center" wrapText="1" readingOrder="1"/>
    </xf>
    <xf numFmtId="166" fontId="14" fillId="17" borderId="131" xfId="0" applyNumberFormat="1" applyFont="1" applyFill="1" applyBorder="1" applyAlignment="1">
      <alignment vertical="center" wrapText="1" readingOrder="1"/>
    </xf>
    <xf numFmtId="174" fontId="14" fillId="3" borderId="128" xfId="0" applyNumberFormat="1" applyFont="1" applyFill="1" applyBorder="1" applyAlignment="1">
      <alignment vertical="center" wrapText="1" readingOrder="1"/>
    </xf>
    <xf numFmtId="176" fontId="27" fillId="16" borderId="134" xfId="0" applyNumberFormat="1" applyFont="1" applyFill="1" applyBorder="1" applyAlignment="1">
      <alignment vertical="center" wrapText="1" readingOrder="1"/>
    </xf>
    <xf numFmtId="49" fontId="14" fillId="14" borderId="29" xfId="0" applyNumberFormat="1" applyFont="1" applyFill="1" applyBorder="1" applyAlignment="1">
      <alignment horizontal="left" vertical="center" wrapText="1"/>
    </xf>
    <xf numFmtId="3" fontId="14" fillId="3" borderId="126" xfId="0" applyNumberFormat="1" applyFont="1" applyFill="1" applyBorder="1" applyAlignment="1">
      <alignment vertical="center" wrapText="1" readingOrder="1"/>
    </xf>
    <xf numFmtId="3" fontId="14" fillId="3" borderId="127" xfId="0" applyNumberFormat="1" applyFont="1" applyFill="1" applyBorder="1" applyAlignment="1">
      <alignment vertical="center" wrapText="1" readingOrder="1"/>
    </xf>
    <xf numFmtId="176" fontId="27" fillId="19" borderId="125" xfId="0" applyNumberFormat="1" applyFont="1" applyFill="1" applyBorder="1" applyAlignment="1">
      <alignment vertical="center" wrapText="1" readingOrder="1"/>
    </xf>
    <xf numFmtId="3" fontId="14" fillId="19" borderId="126" xfId="0" applyNumberFormat="1" applyFont="1" applyFill="1" applyBorder="1" applyAlignment="1">
      <alignment vertical="center" wrapText="1" readingOrder="1"/>
    </xf>
    <xf numFmtId="176" fontId="27" fillId="3" borderId="102" xfId="0" applyNumberFormat="1" applyFont="1" applyFill="1" applyBorder="1" applyAlignment="1">
      <alignment vertical="center" wrapText="1" readingOrder="1"/>
    </xf>
    <xf numFmtId="171" fontId="14" fillId="3" borderId="102" xfId="0" applyNumberFormat="1" applyFont="1" applyFill="1" applyBorder="1" applyAlignment="1">
      <alignment vertical="center" wrapText="1" readingOrder="1"/>
    </xf>
    <xf numFmtId="171" fontId="14" fillId="3" borderId="137" xfId="0" applyNumberFormat="1" applyFont="1" applyFill="1" applyBorder="1" applyAlignment="1">
      <alignment vertical="center" wrapText="1" readingOrder="1"/>
    </xf>
    <xf numFmtId="176" fontId="27" fillId="3" borderId="104" xfId="0" applyNumberFormat="1" applyFont="1" applyFill="1" applyBorder="1" applyAlignment="1">
      <alignment vertical="center" wrapText="1" readingOrder="1"/>
    </xf>
    <xf numFmtId="171" fontId="14" fillId="3" borderId="104" xfId="0" applyNumberFormat="1" applyFont="1" applyFill="1" applyBorder="1" applyAlignment="1">
      <alignment vertical="center" wrapText="1" readingOrder="1"/>
    </xf>
    <xf numFmtId="171" fontId="14" fillId="3" borderId="124" xfId="0" applyNumberFormat="1" applyFont="1" applyFill="1" applyBorder="1" applyAlignment="1">
      <alignment vertical="center" wrapText="1" readingOrder="1"/>
    </xf>
    <xf numFmtId="10" fontId="14" fillId="3" borderId="128" xfId="0" applyNumberFormat="1" applyFont="1" applyFill="1" applyBorder="1" applyAlignment="1">
      <alignment horizontal="center" vertical="center" wrapText="1" readingOrder="1"/>
    </xf>
    <xf numFmtId="164" fontId="14" fillId="3" borderId="131" xfId="0" applyNumberFormat="1" applyFont="1" applyFill="1" applyBorder="1" applyAlignment="1">
      <alignment horizontal="center" vertical="center" wrapText="1" readingOrder="1"/>
    </xf>
    <xf numFmtId="170" fontId="14" fillId="3" borderId="131" xfId="0" applyNumberFormat="1" applyFont="1" applyFill="1" applyBorder="1" applyAlignment="1">
      <alignment horizontal="center" vertical="center" wrapText="1" readingOrder="1"/>
    </xf>
    <xf numFmtId="49" fontId="14" fillId="3" borderId="138" xfId="0" applyNumberFormat="1" applyFont="1" applyFill="1" applyBorder="1" applyAlignment="1">
      <alignment horizontal="left" vertical="center" wrapText="1"/>
    </xf>
    <xf numFmtId="170" fontId="14" fillId="3" borderId="139" xfId="0" applyNumberFormat="1" applyFont="1" applyFill="1" applyBorder="1" applyAlignment="1">
      <alignment horizontal="center" vertical="center" wrapText="1" readingOrder="1"/>
    </xf>
    <xf numFmtId="3" fontId="14" fillId="3" borderId="131" xfId="0" applyNumberFormat="1" applyFont="1" applyFill="1" applyBorder="1" applyAlignment="1">
      <alignment horizontal="center" vertical="center" wrapText="1" readingOrder="1"/>
    </xf>
    <xf numFmtId="174" fontId="14" fillId="17" borderId="131" xfId="0" applyNumberFormat="1" applyFont="1" applyFill="1" applyBorder="1" applyAlignment="1">
      <alignment horizontal="right" vertical="center" wrapText="1" readingOrder="1"/>
    </xf>
    <xf numFmtId="174" fontId="14" fillId="17" borderId="131" xfId="0" applyNumberFormat="1" applyFont="1" applyFill="1" applyBorder="1" applyAlignment="1">
      <alignment vertical="center" wrapText="1" readingOrder="1"/>
    </xf>
    <xf numFmtId="0" fontId="14" fillId="3" borderId="84" xfId="0" applyNumberFormat="1" applyFont="1" applyFill="1" applyBorder="1" applyAlignment="1">
      <alignment horizontal="left" vertical="center" wrapText="1"/>
    </xf>
    <xf numFmtId="174" fontId="14" fillId="17" borderId="134" xfId="0" applyNumberFormat="1" applyFont="1" applyFill="1" applyBorder="1" applyAlignment="1">
      <alignment vertical="center" wrapText="1" readingOrder="1"/>
    </xf>
    <xf numFmtId="171" fontId="14" fillId="17" borderId="131" xfId="0" applyNumberFormat="1" applyFont="1" applyFill="1" applyBorder="1" applyAlignment="1">
      <alignment horizontal="right" vertical="center" wrapText="1" readingOrder="1"/>
    </xf>
    <xf numFmtId="0" fontId="0" fillId="3" borderId="140" xfId="0" applyFont="1" applyFill="1" applyBorder="1" applyAlignment="1">
      <alignment vertical="top" wrapText="1"/>
    </xf>
    <xf numFmtId="0" fontId="0" fillId="0" borderId="0" xfId="0" applyNumberFormat="1" applyFont="1" applyAlignment="1">
      <alignment vertical="top" wrapText="1"/>
    </xf>
    <xf numFmtId="0" fontId="0" fillId="0" borderId="97" xfId="0" applyFont="1" applyBorder="1" applyAlignment="1">
      <alignment vertical="top" wrapText="1"/>
    </xf>
    <xf numFmtId="0" fontId="0" fillId="0" borderId="99" xfId="0" applyFont="1" applyBorder="1" applyAlignment="1">
      <alignment vertical="top" wrapText="1"/>
    </xf>
    <xf numFmtId="0" fontId="0" fillId="0" borderId="100" xfId="0" applyFont="1" applyBorder="1" applyAlignment="1">
      <alignment vertical="top" wrapText="1"/>
    </xf>
    <xf numFmtId="0" fontId="0" fillId="0" borderId="101" xfId="0" applyFont="1" applyBorder="1" applyAlignment="1">
      <alignment vertical="top" wrapText="1"/>
    </xf>
    <xf numFmtId="0" fontId="0" fillId="0" borderId="3" xfId="0" applyFont="1" applyBorder="1" applyAlignment="1">
      <alignment vertical="top" wrapText="1"/>
    </xf>
    <xf numFmtId="0" fontId="0" fillId="0" borderId="103" xfId="0" applyFont="1" applyBorder="1" applyAlignment="1">
      <alignment vertical="top" wrapText="1"/>
    </xf>
    <xf numFmtId="0" fontId="0" fillId="0" borderId="141" xfId="0" applyFont="1" applyBorder="1" applyAlignment="1">
      <alignment vertical="top" wrapText="1"/>
    </xf>
    <xf numFmtId="0" fontId="0" fillId="0" borderId="142" xfId="0" applyFont="1" applyBorder="1" applyAlignment="1">
      <alignment vertical="top" wrapText="1"/>
    </xf>
    <xf numFmtId="0" fontId="0" fillId="0" borderId="143" xfId="0" applyFont="1" applyBorder="1" applyAlignment="1">
      <alignment vertical="top" wrapText="1"/>
    </xf>
    <xf numFmtId="0" fontId="12" fillId="0" borderId="0" xfId="0" applyFont="1" applyAlignment="1">
      <alignment horizontal="left" vertical="center"/>
    </xf>
    <xf numFmtId="49" fontId="13" fillId="0" borderId="32" xfId="0" applyNumberFormat="1" applyFont="1" applyBorder="1" applyAlignment="1">
      <alignment horizontal="center" vertical="center" wrapText="1" readingOrder="1"/>
    </xf>
    <xf numFmtId="0" fontId="1" fillId="3" borderId="35" xfId="0" applyFont="1" applyFill="1" applyBorder="1" applyAlignment="1">
      <alignment vertical="top" wrapText="1" readingOrder="1"/>
    </xf>
    <xf numFmtId="0" fontId="1" fillId="3" borderId="38" xfId="0" applyFont="1" applyFill="1" applyBorder="1" applyAlignment="1">
      <alignment vertical="top" wrapText="1" readingOrder="1"/>
    </xf>
    <xf numFmtId="49" fontId="13" fillId="0" borderId="39" xfId="0" applyNumberFormat="1" applyFont="1" applyBorder="1" applyAlignment="1">
      <alignment horizontal="center" vertical="center" wrapText="1" readingOrder="1"/>
    </xf>
    <xf numFmtId="0" fontId="1" fillId="3" borderId="40" xfId="0" applyFont="1" applyFill="1" applyBorder="1" applyAlignment="1">
      <alignment vertical="top" wrapText="1" readingOrder="1"/>
    </xf>
    <xf numFmtId="49" fontId="13" fillId="10" borderId="29" xfId="0" applyNumberFormat="1" applyFont="1" applyFill="1" applyBorder="1" applyAlignment="1">
      <alignment horizontal="center" vertical="center" wrapText="1" readingOrder="1"/>
    </xf>
    <xf numFmtId="0" fontId="1" fillId="3" borderId="30" xfId="0" applyFont="1" applyFill="1" applyBorder="1" applyAlignment="1">
      <alignment vertical="top" wrapText="1" readingOrder="1"/>
    </xf>
    <xf numFmtId="0" fontId="17" fillId="0" borderId="44" xfId="0" applyFont="1" applyBorder="1" applyAlignment="1">
      <alignment horizontal="left" vertical="top" wrapText="1" readingOrder="1"/>
    </xf>
    <xf numFmtId="0" fontId="1" fillId="3" borderId="44" xfId="0" applyFont="1" applyFill="1" applyBorder="1" applyAlignment="1">
      <alignment vertical="top" wrapText="1" readingOrder="1"/>
    </xf>
    <xf numFmtId="0" fontId="22" fillId="3" borderId="44" xfId="0" applyFont="1" applyFill="1" applyBorder="1" applyAlignment="1">
      <alignment vertical="top" wrapText="1" readingOrder="1"/>
    </xf>
    <xf numFmtId="0" fontId="1" fillId="3" borderId="70" xfId="0" applyFont="1" applyFill="1" applyBorder="1" applyAlignment="1">
      <alignment vertical="top" wrapText="1" readingOrder="1"/>
    </xf>
    <xf numFmtId="9" fontId="19" fillId="12" borderId="49" xfId="0" applyNumberFormat="1" applyFont="1" applyFill="1" applyBorder="1" applyAlignment="1">
      <alignment horizontal="center" vertical="center" wrapText="1" readingOrder="1"/>
    </xf>
    <xf numFmtId="0" fontId="1" fillId="3" borderId="36" xfId="0" applyFont="1" applyFill="1" applyBorder="1" applyAlignment="1">
      <alignment vertical="top" wrapText="1" readingOrder="1"/>
    </xf>
    <xf numFmtId="0" fontId="1" fillId="3" borderId="37" xfId="0" applyFont="1" applyFill="1" applyBorder="1" applyAlignment="1">
      <alignment vertical="top" wrapText="1" readingOrder="1"/>
    </xf>
    <xf numFmtId="9" fontId="19" fillId="0" borderId="49" xfId="0" applyNumberFormat="1" applyFont="1" applyBorder="1" applyAlignment="1">
      <alignment horizontal="center" vertical="center" wrapText="1" readingOrder="1"/>
    </xf>
    <xf numFmtId="49" fontId="14" fillId="3" borderId="3" xfId="0" applyNumberFormat="1" applyFont="1" applyFill="1" applyBorder="1" applyAlignment="1">
      <alignment horizontal="left" vertical="center" wrapText="1" readingOrder="1"/>
    </xf>
    <xf numFmtId="0" fontId="0" fillId="16" borderId="3" xfId="0" applyFont="1" applyFill="1" applyBorder="1" applyAlignment="1">
      <alignment vertical="top" wrapText="1"/>
    </xf>
    <xf numFmtId="0" fontId="14" fillId="3" borderId="102" xfId="0" applyFont="1" applyFill="1" applyBorder="1" applyAlignment="1">
      <alignment horizontal="center" vertical="center" wrapText="1" readingOrder="1"/>
    </xf>
    <xf numFmtId="0" fontId="0" fillId="16" borderId="102" xfId="0" applyFont="1" applyFill="1" applyBorder="1" applyAlignment="1">
      <alignment vertical="top" wrapText="1"/>
    </xf>
    <xf numFmtId="9" fontId="14" fillId="3" borderId="49" xfId="0" applyNumberFormat="1" applyFont="1" applyFill="1" applyBorder="1" applyAlignment="1">
      <alignment horizontal="center" vertical="center" wrapText="1" readingOrder="1"/>
    </xf>
    <xf numFmtId="0" fontId="0" fillId="16" borderId="36" xfId="0" applyFont="1" applyFill="1" applyBorder="1" applyAlignment="1">
      <alignment vertical="top" wrapText="1"/>
    </xf>
    <xf numFmtId="0" fontId="0" fillId="16" borderId="37" xfId="0" applyFont="1" applyFill="1" applyBorder="1" applyAlignment="1">
      <alignment vertical="top" wrapText="1"/>
    </xf>
    <xf numFmtId="49" fontId="14" fillId="3" borderId="39" xfId="0" applyNumberFormat="1" applyFont="1" applyFill="1" applyBorder="1" applyAlignment="1">
      <alignment horizontal="center" vertical="center" wrapText="1" readingOrder="1"/>
    </xf>
    <xf numFmtId="0" fontId="28" fillId="18" borderId="35" xfId="0" applyFont="1" applyFill="1" applyBorder="1" applyAlignment="1">
      <alignment horizontal="left" vertical="top" wrapText="1" readingOrder="1"/>
    </xf>
    <xf numFmtId="0" fontId="28" fillId="18" borderId="40" xfId="0" applyFont="1" applyFill="1" applyBorder="1" applyAlignment="1">
      <alignment horizontal="left" vertical="top" wrapText="1" readingOrder="1"/>
    </xf>
    <xf numFmtId="9" fontId="14" fillId="17" borderId="49" xfId="0" applyNumberFormat="1" applyFont="1" applyFill="1" applyBorder="1" applyAlignment="1">
      <alignment horizontal="center" vertical="center" wrapText="1" readingOrder="1"/>
    </xf>
    <xf numFmtId="49" fontId="14" fillId="3" borderId="32" xfId="0" applyNumberFormat="1" applyFont="1" applyFill="1" applyBorder="1" applyAlignment="1">
      <alignment horizontal="center" vertical="center" wrapText="1" readingOrder="1"/>
    </xf>
    <xf numFmtId="0" fontId="28" fillId="18" borderId="38" xfId="0" applyFont="1" applyFill="1" applyBorder="1" applyAlignment="1">
      <alignment horizontal="left" vertical="top" wrapText="1" readingOrder="1"/>
    </xf>
    <xf numFmtId="0" fontId="14" fillId="3" borderId="3" xfId="0" applyFont="1" applyFill="1" applyBorder="1" applyAlignment="1">
      <alignment horizontal="left" vertical="center" wrapText="1" readingOrder="1"/>
    </xf>
    <xf numFmtId="0" fontId="27" fillId="16" borderId="3" xfId="0" applyFont="1" applyFill="1" applyBorder="1" applyAlignment="1">
      <alignment vertical="center" wrapText="1" readingOrder="1"/>
    </xf>
    <xf numFmtId="49" fontId="13" fillId="3" borderId="104" xfId="0" applyNumberFormat="1" applyFont="1" applyFill="1" applyBorder="1" applyAlignment="1">
      <alignment horizontal="left" vertical="center" wrapText="1"/>
    </xf>
    <xf numFmtId="0" fontId="0" fillId="3" borderId="104" xfId="0" applyFont="1" applyFill="1" applyBorder="1" applyAlignment="1">
      <alignment vertical="top" wrapText="1"/>
    </xf>
  </cellXfs>
  <cellStyles count="1">
    <cellStyle name="Standard" xfId="0" builtinId="0"/>
  </cellStyles>
  <dxfs count="26">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17"/>
        </patternFill>
      </fill>
    </dxf>
    <dxf>
      <font>
        <color rgb="FF000000"/>
      </font>
      <fill>
        <patternFill patternType="solid">
          <fgColor indexed="16"/>
          <bgColor indexed="33"/>
        </patternFill>
      </fill>
    </dxf>
    <dxf>
      <font>
        <color rgb="FF000000"/>
      </font>
      <fill>
        <patternFill patternType="solid">
          <fgColor indexed="16"/>
          <bgColor indexed="17"/>
        </patternFill>
      </fill>
    </dxf>
    <dxf>
      <font>
        <color rgb="FF000000"/>
      </font>
      <fill>
        <patternFill patternType="solid">
          <fgColor indexed="16"/>
          <bgColor indexed="33"/>
        </patternFill>
      </fill>
    </dxf>
  </dxfs>
  <tableStyles count="0"/>
  <colors>
    <indexedColors>
      <rgbColor rgb="FF000000"/>
      <rgbColor rgb="FFFFFFFF"/>
      <rgbColor rgb="FFFF0000"/>
      <rgbColor rgb="FF00FF00"/>
      <rgbColor rgb="FF0000FF"/>
      <rgbColor rgb="FFFFFF00"/>
      <rgbColor rgb="FFFF00FF"/>
      <rgbColor rgb="FF00FFFF"/>
      <rgbColor rgb="FF000000"/>
      <rgbColor rgb="FF1D300D"/>
      <rgbColor rgb="FFFFFFFF"/>
      <rgbColor rgb="FF02336E"/>
      <rgbColor rgb="FF7F7F7F"/>
      <rgbColor rgb="FF4E8F00"/>
      <rgbColor rgb="FFB3B3B3"/>
      <rgbColor rgb="FF424242"/>
      <rgbColor rgb="00000000"/>
      <rgbColor rgb="E5AFE489"/>
      <rgbColor rgb="FFFF9300"/>
      <rgbColor rgb="FF3B3D3C"/>
      <rgbColor rgb="FF4D4D4D"/>
      <rgbColor rgb="FF9A9A9A"/>
      <rgbColor rgb="FFE6E6E6"/>
      <rgbColor rgb="FF005392"/>
      <rgbColor rgb="FFFED1CF"/>
      <rgbColor rgb="00D5D5D5"/>
      <rgbColor rgb="FFFF2600"/>
      <rgbColor rgb="FF84B4E0"/>
      <rgbColor rgb="FFD5D5D5"/>
      <rgbColor rgb="FF60D836"/>
      <rgbColor rgb="FF3F3F3F"/>
      <rgbColor rgb="FFD9D9D9"/>
      <rgbColor rgb="FFBFBFBF"/>
      <rgbColor rgb="E5FF9781"/>
      <rgbColor rgb="FFDFE0DF"/>
      <rgbColor rgb="FFAAAAAA"/>
      <rgbColor rgb="FFFEFEFE"/>
      <rgbColor rgb="FF60D836"/>
      <rgbColor rgb="FF3B3D3C"/>
      <rgbColor rgb="FF3F3F3F"/>
      <rgbColor rgb="FFFF0000"/>
      <rgbColor rgb="FFDFE0DF"/>
      <rgbColor rgb="FF0079BF"/>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365360</xdr:rowOff>
    </xdr:from>
    <xdr:to>
      <xdr:col>0</xdr:col>
      <xdr:colOff>3309112</xdr:colOff>
      <xdr:row>0</xdr:row>
      <xdr:rowOff>838852</xdr:rowOff>
    </xdr:to>
    <xdr:sp macro="" textlink="">
      <xdr:nvSpPr>
        <xdr:cNvPr id="2" name="Ohne Gewähr, Testversion">
          <a:extLst>
            <a:ext uri="{FF2B5EF4-FFF2-40B4-BE49-F238E27FC236}">
              <a16:creationId xmlns:a16="http://schemas.microsoft.com/office/drawing/2014/main" id="{00000000-0008-0000-0000-000002000000}"/>
            </a:ext>
          </a:extLst>
        </xdr:cNvPr>
        <xdr:cNvSpPr txBox="1"/>
      </xdr:nvSpPr>
      <xdr:spPr>
        <a:xfrm>
          <a:off x="-19050" y="365360"/>
          <a:ext cx="3309113" cy="473493"/>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2000" b="1" i="0" u="none" strike="noStrike" cap="none" spc="0" baseline="0">
              <a:solidFill>
                <a:srgbClr val="FF2600"/>
              </a:solidFill>
              <a:uFillTx/>
              <a:latin typeface="+mn-lt"/>
              <a:ea typeface="+mn-ea"/>
              <a:cs typeface="+mn-cs"/>
              <a:sym typeface="Helvetica Neue"/>
            </a:defRPr>
          </a:pPr>
          <a:r>
            <a:rPr sz="2000" b="1" i="0" u="none" strike="noStrike" cap="none" spc="0" baseline="0">
              <a:solidFill>
                <a:srgbClr val="FF2600"/>
              </a:solidFill>
              <a:uFillTx/>
              <a:latin typeface="+mn-lt"/>
              <a:ea typeface="+mn-ea"/>
              <a:cs typeface="+mn-cs"/>
              <a:sym typeface="Helvetica Neue"/>
            </a:rPr>
            <a:t>Ohne Gewähr, Testversion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146050</xdr:colOff>
      <xdr:row>0</xdr:row>
      <xdr:rowOff>325837</xdr:rowOff>
    </xdr:from>
    <xdr:to>
      <xdr:col>13</xdr:col>
      <xdr:colOff>62526</xdr:colOff>
      <xdr:row>0</xdr:row>
      <xdr:rowOff>5066328</xdr:rowOff>
    </xdr:to>
    <xdr:sp macro="" textlink="">
      <xdr:nvSpPr>
        <xdr:cNvPr id="4" name="Bezeichnung des Projektes: Austausch von Pumpen in einem Kühlsystem zur Steigerung der Energieeffizienz…">
          <a:extLst>
            <a:ext uri="{FF2B5EF4-FFF2-40B4-BE49-F238E27FC236}">
              <a16:creationId xmlns:a16="http://schemas.microsoft.com/office/drawing/2014/main" id="{00000000-0008-0000-0100-000004000000}"/>
            </a:ext>
          </a:extLst>
        </xdr:cNvPr>
        <xdr:cNvSpPr txBox="1"/>
      </xdr:nvSpPr>
      <xdr:spPr>
        <a:xfrm>
          <a:off x="146050" y="325837"/>
          <a:ext cx="23525777" cy="4740492"/>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50800" tIns="50800" rIns="50800" bIns="50800" numCol="1" anchor="t">
          <a:spAutoFit/>
        </a:bodyPr>
        <a:lstStyle/>
        <a:p>
          <a:pPr marL="0" marR="0" indent="0" algn="l" defTabSz="457200" latinLnBrk="0">
            <a:lnSpc>
              <a:spcPct val="100000"/>
            </a:lnSpc>
            <a:spcBef>
              <a:spcPts val="600"/>
            </a:spcBef>
            <a:spcAft>
              <a:spcPts val="0"/>
            </a:spcAft>
            <a:buClrTx/>
            <a:buSzTx/>
            <a:buFontTx/>
            <a:buNone/>
            <a:tabLst/>
            <a:defRPr sz="1500" b="1" i="0" u="none" strike="noStrike" cap="none" spc="0" baseline="0">
              <a:solidFill>
                <a:srgbClr val="000000"/>
              </a:solidFill>
              <a:uFillTx/>
              <a:latin typeface="+mn-lt"/>
              <a:ea typeface="+mn-ea"/>
              <a:cs typeface="+mn-cs"/>
              <a:sym typeface="Helvetica Neue"/>
            </a:defRPr>
          </a:pPr>
          <a:r>
            <a:rPr sz="1500" b="1" i="0" u="none" strike="noStrike" cap="none" spc="0" baseline="0">
              <a:solidFill>
                <a:srgbClr val="000000"/>
              </a:solidFill>
              <a:uFillTx/>
              <a:latin typeface="+mn-lt"/>
              <a:ea typeface="+mn-ea"/>
              <a:cs typeface="+mn-cs"/>
              <a:sym typeface="Helvetica Neue"/>
            </a:rPr>
            <a:t>Bezeichnung des Projektes: </a:t>
          </a:r>
          <a:r>
            <a:rPr sz="1500" b="0" i="0" u="none" strike="noStrike" cap="none" spc="0" baseline="0">
              <a:solidFill>
                <a:srgbClr val="000000"/>
              </a:solidFill>
              <a:uFillTx/>
              <a:latin typeface="+mn-lt"/>
              <a:ea typeface="+mn-ea"/>
              <a:cs typeface="+mn-cs"/>
              <a:sym typeface="Helvetica Neue"/>
            </a:rPr>
            <a:t>Austausch von Pumpen in einem Kühlsystem zur Steigerung der Energieeffizienz</a:t>
          </a:r>
          <a:endParaRPr sz="1500" b="1"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endParaRPr sz="15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r>
            <a:rPr sz="1500" b="1" i="0" u="none" strike="noStrike" cap="none" spc="0" baseline="0">
              <a:solidFill>
                <a:srgbClr val="000000"/>
              </a:solidFill>
              <a:uFillTx/>
              <a:latin typeface="+mn-lt"/>
              <a:ea typeface="+mn-ea"/>
              <a:cs typeface="+mn-cs"/>
              <a:sym typeface="Helvetica Neue"/>
            </a:rPr>
            <a:t>Beschreibung des Projektes</a:t>
          </a:r>
          <a:r>
            <a:rPr sz="1500" b="0" i="0" u="none" strike="noStrike" cap="none" spc="0" baseline="0">
              <a:solidFill>
                <a:srgbClr val="000000"/>
              </a:solidFill>
              <a:uFillTx/>
              <a:latin typeface="+mn-lt"/>
              <a:ea typeface="+mn-ea"/>
              <a:cs typeface="+mn-cs"/>
              <a:sym typeface="Helvetica Neue"/>
            </a:rPr>
            <a:t>:</a:t>
          </a: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r>
            <a:rPr sz="1500" b="0" i="0" u="none" strike="noStrike" cap="none" spc="0" baseline="0">
              <a:solidFill>
                <a:srgbClr val="000000"/>
              </a:solidFill>
              <a:uFillTx/>
              <a:latin typeface="+mn-lt"/>
              <a:ea typeface="+mn-ea"/>
              <a:cs typeface="+mn-cs"/>
              <a:sym typeface="Helvetica Neue"/>
            </a:rPr>
            <a:t>Vorgeschlagen wird, die ins Alter gekommenen in Fabrik 3 verorteten 5 Förderpumpen durch moderne energieeffiziente Pumpen auszutauschen. Die Anschaffungsausgaben belaufen sich anzunehmender Weise auf 12 000 € je Pumpe (Schwankungsbreite: 10 000 € bis 17 000 €). Die Auslegung und Installation des Pumpensystems wird etwa 100 Stunden dauern (Stundensatz: 50 €/h). Kurzzeitig ist mit Produktionsausfällen zu rechnen. Hier geht man von 15 Stunden aus, die mit Kosten in Höhe von 200 €/h veranschlagt werden.</a:t>
          </a: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endParaRPr sz="15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r>
            <a:rPr sz="1500" b="0" i="0" u="none" strike="noStrike" cap="none" spc="0" baseline="0">
              <a:solidFill>
                <a:srgbClr val="000000"/>
              </a:solidFill>
              <a:uFillTx/>
              <a:latin typeface="+mn-lt"/>
              <a:ea typeface="+mn-ea"/>
              <a:cs typeface="+mn-cs"/>
              <a:sym typeface="Helvetica Neue"/>
            </a:rPr>
            <a:t>Techniker haben ermittelt, dass der Stromverbrauch durch den Einsatz der neuen Pumpen um jährlich 150 000 kWh reduziert werden kann (Schwankungsbreite: 100 000 kWh/a bis 175 000 kWh/a). Bei einem derzeitigen spez. Strompreis von 0,18 €/kWh betrüge die Jahreseinsparung daher 27 000 €. Allerdings sind Strompreissteigerungen zu berücksichtigen, die mit 3% pro Jahr (Schwankungsbreite: 1,5% bis 4,5%) geschätzt werden, und damit ein Prozent über der aktuellen Inflationsrate liegen (Schwankungsbreite: 1,5% bis 3 %). Nach Austausch der Pumpen ist mit einer Reduktion des Wartungsaufwandes zu rechnen. Hier rechnet man mit 5 Stunden pro Jahr bei einem Stundensatz von 50 €. </a:t>
          </a: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endParaRPr sz="15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r>
            <a:rPr sz="1500" b="0" i="0" u="none" strike="noStrike" cap="none" spc="0" baseline="0">
              <a:solidFill>
                <a:srgbClr val="000000"/>
              </a:solidFill>
              <a:uFillTx/>
              <a:latin typeface="+mn-lt"/>
              <a:ea typeface="+mn-ea"/>
              <a:cs typeface="+mn-cs"/>
              <a:sym typeface="Helvetica Neue"/>
            </a:rPr>
            <a:t>Als Lebensdauer der Pumpen sind 15 Jahre anzuzsetzen (Schwankungsbreite: 7,5 bis 20 Jahre). Das Ganze wird mit 80% Eigenkapital finanziert. Als EK-Zins ist 7,2% (Schwankungsbreite: 5,5% zu 8,5%) und als FK-Zins ist 6,0% (Schwankungsbreite: 3% bis 11%) zugrunde zu legen.</a:t>
          </a: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endParaRPr sz="1500" b="0"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0" i="0" u="none" strike="noStrike" cap="none" spc="0" baseline="0">
              <a:solidFill>
                <a:srgbClr val="000000"/>
              </a:solidFill>
              <a:uFillTx/>
              <a:latin typeface="+mn-lt"/>
              <a:ea typeface="+mn-ea"/>
              <a:cs typeface="+mn-cs"/>
              <a:sym typeface="Helvetica Neue"/>
            </a:defRPr>
          </a:pPr>
          <a:r>
            <a:rPr sz="1500" b="0" i="0" u="none" strike="noStrike" cap="none" spc="0" baseline="0">
              <a:solidFill>
                <a:srgbClr val="000000"/>
              </a:solidFill>
              <a:uFillTx/>
              <a:latin typeface="+mn-lt"/>
              <a:ea typeface="+mn-ea"/>
              <a:cs typeface="+mn-cs"/>
              <a:sym typeface="Helvetica Neue"/>
            </a:rPr>
            <a:t>Die neuen Pumpen sind deutlich leiser als die bisherigen (90 dB =&gt; 65 dB). Die Verschrottung der alten Pumpen würde je Pumpe einen Ertrag von 300 € erbringen. Ein weiterer Vorteil ist, dass die neuen Pumpen etwa 10 m2 weniger Raum benötigen.</a:t>
          </a:r>
        </a:p>
      </xdr:txBody>
    </xdr:sp>
    <xdr:clientData/>
  </xdr:twoCellAnchor>
  <xdr:twoCellAnchor>
    <xdr:from>
      <xdr:col>0</xdr:col>
      <xdr:colOff>146050</xdr:colOff>
      <xdr:row>0</xdr:row>
      <xdr:rowOff>0</xdr:rowOff>
    </xdr:from>
    <xdr:to>
      <xdr:col>2</xdr:col>
      <xdr:colOff>1867662</xdr:colOff>
      <xdr:row>0</xdr:row>
      <xdr:rowOff>473492</xdr:rowOff>
    </xdr:to>
    <xdr:sp macro="" textlink="">
      <xdr:nvSpPr>
        <xdr:cNvPr id="5" name="Ohne Gewähr, Testversion">
          <a:extLst>
            <a:ext uri="{FF2B5EF4-FFF2-40B4-BE49-F238E27FC236}">
              <a16:creationId xmlns:a16="http://schemas.microsoft.com/office/drawing/2014/main" id="{00000000-0008-0000-0100-000005000000}"/>
            </a:ext>
          </a:extLst>
        </xdr:cNvPr>
        <xdr:cNvSpPr txBox="1"/>
      </xdr:nvSpPr>
      <xdr:spPr>
        <a:xfrm>
          <a:off x="146050" y="-30880"/>
          <a:ext cx="3309112" cy="473493"/>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2000" b="1" i="0" u="none" strike="noStrike" cap="none" spc="0" baseline="0">
              <a:solidFill>
                <a:srgbClr val="FF2600"/>
              </a:solidFill>
              <a:uFillTx/>
              <a:latin typeface="+mn-lt"/>
              <a:ea typeface="+mn-ea"/>
              <a:cs typeface="+mn-cs"/>
              <a:sym typeface="Helvetica Neue"/>
            </a:defRPr>
          </a:pPr>
          <a:r>
            <a:rPr sz="2000" b="1" i="0" u="none" strike="noStrike" cap="none" spc="0" baseline="0">
              <a:solidFill>
                <a:srgbClr val="FF2600"/>
              </a:solidFill>
              <a:uFillTx/>
              <a:latin typeface="+mn-lt"/>
              <a:ea typeface="+mn-ea"/>
              <a:cs typeface="+mn-cs"/>
              <a:sym typeface="Helvetica Neue"/>
            </a:rPr>
            <a:t>Ohne Gewähr, Testversion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279400</xdr:colOff>
      <xdr:row>0</xdr:row>
      <xdr:rowOff>239477</xdr:rowOff>
    </xdr:from>
    <xdr:to>
      <xdr:col>7</xdr:col>
      <xdr:colOff>920750</xdr:colOff>
      <xdr:row>1</xdr:row>
      <xdr:rowOff>2131663</xdr:rowOff>
    </xdr:to>
    <xdr:sp macro="" textlink="">
      <xdr:nvSpPr>
        <xdr:cNvPr id="7" name="Bezeichnung des Projektes: Installation einer 772 kWp-Photovoltaikanlage auf acht Gebäudedächern am Campus Süd der Hochschule Niederrhein…">
          <a:extLst>
            <a:ext uri="{FF2B5EF4-FFF2-40B4-BE49-F238E27FC236}">
              <a16:creationId xmlns:a16="http://schemas.microsoft.com/office/drawing/2014/main" id="{00000000-0008-0000-0200-000007000000}"/>
            </a:ext>
          </a:extLst>
        </xdr:cNvPr>
        <xdr:cNvSpPr txBox="1"/>
      </xdr:nvSpPr>
      <xdr:spPr>
        <a:xfrm>
          <a:off x="279400" y="239477"/>
          <a:ext cx="15843250" cy="227318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50800" tIns="50800" rIns="50800" bIns="50800" numCol="1" anchor="t">
          <a:spAutoFit/>
        </a:bodyPr>
        <a:lstStyle/>
        <a:p>
          <a:pPr marL="0" marR="0" indent="0" algn="l" defTabSz="457200" latinLnBrk="0">
            <a:lnSpc>
              <a:spcPct val="100000"/>
            </a:lnSpc>
            <a:spcBef>
              <a:spcPts val="600"/>
            </a:spcBef>
            <a:spcAft>
              <a:spcPts val="0"/>
            </a:spcAft>
            <a:buClrTx/>
            <a:buSzTx/>
            <a:buFontTx/>
            <a:buNone/>
            <a:tabLst/>
            <a:defRPr sz="1500" b="1" i="0" u="none" strike="noStrike" cap="none" spc="0" baseline="0">
              <a:solidFill>
                <a:srgbClr val="0079BF"/>
              </a:solidFill>
              <a:uFillTx/>
              <a:latin typeface="+mn-lt"/>
              <a:ea typeface="+mn-ea"/>
              <a:cs typeface="+mn-cs"/>
              <a:sym typeface="Helvetica Neue"/>
            </a:defRPr>
          </a:pPr>
          <a:endParaRPr lang="de-DE" sz="1500" b="1" i="0" u="none" strike="noStrike" cap="none" spc="0" baseline="0">
            <a:solidFill>
              <a:srgbClr val="0079BF"/>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1" i="0" u="none" strike="noStrike" cap="none" spc="0" baseline="0">
              <a:solidFill>
                <a:srgbClr val="0079BF"/>
              </a:solidFill>
              <a:uFillTx/>
              <a:latin typeface="+mn-lt"/>
              <a:ea typeface="+mn-ea"/>
              <a:cs typeface="+mn-cs"/>
              <a:sym typeface="Helvetica Neue"/>
            </a:defRPr>
          </a:pPr>
          <a:r>
            <a:rPr sz="1500" b="1" i="0" u="none" strike="noStrike" cap="none" spc="0" baseline="0">
              <a:solidFill>
                <a:srgbClr val="0079BF"/>
              </a:solidFill>
              <a:uFillTx/>
              <a:latin typeface="+mn-lt"/>
              <a:ea typeface="+mn-ea"/>
              <a:cs typeface="+mn-cs"/>
              <a:sym typeface="Helvetica Neue"/>
            </a:rPr>
            <a:t>Investitionsbewertung nach DIN EN 17463</a:t>
          </a:r>
        </a:p>
        <a:p>
          <a:pPr marL="0" marR="0" indent="0" algn="l" defTabSz="457200" latinLnBrk="0">
            <a:lnSpc>
              <a:spcPct val="100000"/>
            </a:lnSpc>
            <a:spcBef>
              <a:spcPts val="600"/>
            </a:spcBef>
            <a:spcAft>
              <a:spcPts val="0"/>
            </a:spcAft>
            <a:buClrTx/>
            <a:buSzTx/>
            <a:buFontTx/>
            <a:buNone/>
            <a:tabLst/>
            <a:defRPr sz="1500" b="1" i="0" u="none" strike="noStrike" cap="none" spc="0" baseline="0">
              <a:solidFill>
                <a:srgbClr val="000000"/>
              </a:solidFill>
              <a:uFillTx/>
              <a:latin typeface="+mn-lt"/>
              <a:ea typeface="+mn-ea"/>
              <a:cs typeface="+mn-cs"/>
              <a:sym typeface="Helvetica Neue"/>
            </a:defRPr>
          </a:pPr>
          <a:r>
            <a:rPr sz="1500" b="1" i="0" u="none" strike="noStrike" cap="none" spc="0" baseline="0">
              <a:solidFill>
                <a:srgbClr val="000000"/>
              </a:solidFill>
              <a:uFillTx/>
              <a:latin typeface="+mn-lt"/>
              <a:ea typeface="+mn-ea"/>
              <a:cs typeface="+mn-cs"/>
              <a:sym typeface="Helvetica Neue"/>
            </a:rPr>
            <a:t>Bezeichnung des Projektes: Installation einer 772 kWp-Photovoltaikanlage auf acht Gebäudedächern …</a:t>
          </a:r>
        </a:p>
        <a:p>
          <a:pPr marL="0" marR="0" indent="0" algn="l" defTabSz="457200" latinLnBrk="0">
            <a:lnSpc>
              <a:spcPct val="100000"/>
            </a:lnSpc>
            <a:spcBef>
              <a:spcPts val="600"/>
            </a:spcBef>
            <a:spcAft>
              <a:spcPts val="0"/>
            </a:spcAft>
            <a:buClrTx/>
            <a:buSzTx/>
            <a:buFontTx/>
            <a:buNone/>
            <a:tabLst/>
            <a:defRPr sz="1500" b="1" i="0" u="none" strike="noStrike" cap="none" spc="0" baseline="0">
              <a:solidFill>
                <a:srgbClr val="000000"/>
              </a:solidFill>
              <a:uFillTx/>
              <a:latin typeface="+mn-lt"/>
              <a:ea typeface="+mn-ea"/>
              <a:cs typeface="+mn-cs"/>
              <a:sym typeface="Helvetica Neue"/>
            </a:defRPr>
          </a:pPr>
          <a:endParaRPr sz="1500" b="1" i="0" u="none" strike="noStrike" cap="none" spc="0" baseline="0">
            <a:solidFill>
              <a:srgbClr val="000000"/>
            </a:solidFill>
            <a:uFillTx/>
            <a:latin typeface="+mn-lt"/>
            <a:ea typeface="+mn-ea"/>
            <a:cs typeface="+mn-cs"/>
            <a:sym typeface="Helvetica Neue"/>
          </a:endParaRPr>
        </a:p>
        <a:p>
          <a:pPr marL="0" marR="0" indent="0" algn="l" defTabSz="457200" latinLnBrk="0">
            <a:lnSpc>
              <a:spcPct val="100000"/>
            </a:lnSpc>
            <a:spcBef>
              <a:spcPts val="600"/>
            </a:spcBef>
            <a:spcAft>
              <a:spcPts val="0"/>
            </a:spcAft>
            <a:buClrTx/>
            <a:buSzTx/>
            <a:buFontTx/>
            <a:buNone/>
            <a:tabLst/>
            <a:defRPr sz="1500" b="1" i="0" u="none" strike="noStrike" cap="none" spc="0" baseline="0">
              <a:solidFill>
                <a:srgbClr val="000000"/>
              </a:solidFill>
              <a:uFillTx/>
              <a:latin typeface="+mn-lt"/>
              <a:ea typeface="+mn-ea"/>
              <a:cs typeface="+mn-cs"/>
              <a:sym typeface="Helvetica Neue"/>
            </a:defRPr>
          </a:pPr>
          <a:r>
            <a:rPr sz="1500" b="1" i="0" u="none" strike="noStrike" cap="none" spc="0" baseline="0">
              <a:solidFill>
                <a:srgbClr val="000000"/>
              </a:solidFill>
              <a:uFillTx/>
              <a:latin typeface="+mn-lt"/>
              <a:ea typeface="+mn-ea"/>
              <a:cs typeface="+mn-cs"/>
              <a:sym typeface="Helvetica Neue"/>
            </a:rPr>
            <a:t>Beschreibung des Projektes</a:t>
          </a:r>
          <a:r>
            <a:rPr sz="1500" b="0" i="0" u="none" strike="noStrike" cap="none" spc="0" baseline="0">
              <a:solidFill>
                <a:srgbClr val="000000"/>
              </a:solidFill>
              <a:uFillTx/>
              <a:latin typeface="+mn-lt"/>
              <a:ea typeface="+mn-ea"/>
              <a:cs typeface="+mn-cs"/>
              <a:sym typeface="Helvetica Neue"/>
            </a:rPr>
            <a:t>: Im Rahmen eines … wurde im Jahr 2019 untersucht, ob und inwieweit eine größere Photovoltaikanlage (ohne Stromspeicher) auf … eine wirtschaftlich vorteilhafte Investition für … wäre, die über die wirtschaftliche Sinnhaftigkeit hinaus auch einen Beitrag zum Klimaschutz leisten würde, indem sie konventionellen Stromverbrauch durch regenerativen ersetzt. Hierzu ist ein Projektbericht sowie eine Präsentations-Folienserie erarbeitet worden, in der auch die genaue Aufgabenstellung des Projektes dargestellt ist. Wesentliche Parameter sind in der u.a. Tabelle 1 dargestellt. Die Berechnungen und Berechnungsergebniosse sind den Tabellen 2 bis 4 zu entnehmen.</a:t>
          </a:r>
        </a:p>
      </xdr:txBody>
    </xdr:sp>
    <xdr:clientData/>
  </xdr:twoCellAnchor>
  <xdr:twoCellAnchor>
    <xdr:from>
      <xdr:col>0</xdr:col>
      <xdr:colOff>0</xdr:colOff>
      <xdr:row>0</xdr:row>
      <xdr:rowOff>0</xdr:rowOff>
    </xdr:from>
    <xdr:to>
      <xdr:col>1</xdr:col>
      <xdr:colOff>2991612</xdr:colOff>
      <xdr:row>1</xdr:row>
      <xdr:rowOff>92492</xdr:rowOff>
    </xdr:to>
    <xdr:sp macro="" textlink="">
      <xdr:nvSpPr>
        <xdr:cNvPr id="8" name="Ohne Gewähr, Testversion">
          <a:extLst>
            <a:ext uri="{FF2B5EF4-FFF2-40B4-BE49-F238E27FC236}">
              <a16:creationId xmlns:a16="http://schemas.microsoft.com/office/drawing/2014/main" id="{00000000-0008-0000-0200-000008000000}"/>
            </a:ext>
          </a:extLst>
        </xdr:cNvPr>
        <xdr:cNvSpPr txBox="1"/>
      </xdr:nvSpPr>
      <xdr:spPr>
        <a:xfrm>
          <a:off x="-19051" y="-236747"/>
          <a:ext cx="3309113" cy="473494"/>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2000" b="1" i="0" u="none" strike="noStrike" cap="none" spc="0" baseline="0">
              <a:solidFill>
                <a:srgbClr val="FF2600"/>
              </a:solidFill>
              <a:uFillTx/>
              <a:latin typeface="+mn-lt"/>
              <a:ea typeface="+mn-ea"/>
              <a:cs typeface="+mn-cs"/>
              <a:sym typeface="Helvetica Neue"/>
            </a:defRPr>
          </a:pPr>
          <a:r>
            <a:rPr sz="2000" b="1" i="0" u="none" strike="noStrike" cap="none" spc="0" baseline="0">
              <a:solidFill>
                <a:srgbClr val="FF2600"/>
              </a:solidFill>
              <a:uFillTx/>
              <a:latin typeface="+mn-lt"/>
              <a:ea typeface="+mn-ea"/>
              <a:cs typeface="+mn-cs"/>
              <a:sym typeface="Helvetica Neue"/>
            </a:rPr>
            <a:t>Ohne Gewähr, Testversion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323850</xdr:colOff>
      <xdr:row>2</xdr:row>
      <xdr:rowOff>8572</xdr:rowOff>
    </xdr:from>
    <xdr:to>
      <xdr:col>14</xdr:col>
      <xdr:colOff>158749</xdr:colOff>
      <xdr:row>49</xdr:row>
      <xdr:rowOff>3617</xdr:rowOff>
    </xdr:to>
    <xdr:grpSp>
      <xdr:nvGrpSpPr>
        <xdr:cNvPr id="19" name="Group 9">
          <a:extLst>
            <a:ext uri="{FF2B5EF4-FFF2-40B4-BE49-F238E27FC236}">
              <a16:creationId xmlns:a16="http://schemas.microsoft.com/office/drawing/2014/main" id="{00000000-0008-0000-0300-000013000000}"/>
            </a:ext>
          </a:extLst>
        </xdr:cNvPr>
        <xdr:cNvGrpSpPr/>
      </xdr:nvGrpSpPr>
      <xdr:grpSpPr>
        <a:xfrm>
          <a:off x="323850" y="364172"/>
          <a:ext cx="10502899" cy="8351645"/>
          <a:chOff x="-19049" y="-29527"/>
          <a:chExt cx="10502899" cy="8351644"/>
        </a:xfrm>
      </xdr:grpSpPr>
      <xdr:sp macro="" textlink="">
        <xdr:nvSpPr>
          <xdr:cNvPr id="10" name="Shape 2">
            <a:extLst>
              <a:ext uri="{FF2B5EF4-FFF2-40B4-BE49-F238E27FC236}">
                <a16:creationId xmlns:a16="http://schemas.microsoft.com/office/drawing/2014/main" id="{00000000-0008-0000-0300-00000A000000}"/>
              </a:ext>
            </a:extLst>
          </xdr:cNvPr>
          <xdr:cNvSpPr txBox="1"/>
        </xdr:nvSpPr>
        <xdr:spPr>
          <a:xfrm>
            <a:off x="-6350" y="3296579"/>
            <a:ext cx="10477501" cy="3855721"/>
          </a:xfrm>
          <a:prstGeom prst="rect">
            <a:avLst/>
          </a:prstGeom>
          <a:noFill/>
          <a:ln w="12700" cap="flat">
            <a:solidFill>
              <a:srgbClr val="53585F"/>
            </a:solidFill>
            <a:prstDash val="solid"/>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r>
              <a:rPr sz="1400" b="1" i="0" u="none" strike="noStrike" cap="none" spc="0" baseline="0">
                <a:solidFill>
                  <a:srgbClr val="000000"/>
                </a:solidFill>
                <a:uFillTx/>
                <a:latin typeface="Helvetica"/>
                <a:ea typeface="Helvetica"/>
                <a:cs typeface="Helvetica"/>
                <a:sym typeface="Helvetica"/>
              </a:rPr>
              <a:t>Zusammenfassung der Ergebnisse </a:t>
            </a:r>
          </a:p>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endParaRPr sz="1400" b="1" i="0" u="none" strike="noStrike" cap="none" spc="0" baseline="0">
              <a:solidFill>
                <a:srgbClr val="000000"/>
              </a:solidFill>
              <a:uFillTx/>
              <a:latin typeface="Helvetica"/>
              <a:ea typeface="Helvetica"/>
              <a:cs typeface="Helvetica"/>
              <a:sym typeface="Helvetica"/>
            </a:endParaRPr>
          </a:p>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r>
              <a:rPr sz="1400" b="1" i="0" u="none" strike="noStrike" cap="none" spc="0" baseline="0">
                <a:solidFill>
                  <a:srgbClr val="000000"/>
                </a:solidFill>
                <a:uFillTx/>
                <a:latin typeface="Helvetica"/>
                <a:ea typeface="Helvetica"/>
                <a:cs typeface="Helvetica"/>
                <a:sym typeface="Helvetica"/>
              </a:rPr>
              <a:t>Kapitalwert:</a:t>
            </a:r>
          </a:p>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endParaRPr sz="1400" b="1" i="0" u="none" strike="noStrike" cap="none" spc="0" baseline="0">
              <a:solidFill>
                <a:srgbClr val="000000"/>
              </a:solidFill>
              <a:uFillTx/>
              <a:latin typeface="Helvetica"/>
              <a:ea typeface="Helvetica"/>
              <a:cs typeface="Helvetica"/>
              <a:sym typeface="Helvetica"/>
            </a:endParaRPr>
          </a:p>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endParaRPr sz="1400" b="1" i="0" u="none" strike="noStrike" cap="none" spc="0" baseline="0">
              <a:solidFill>
                <a:srgbClr val="000000"/>
              </a:solidFill>
              <a:uFillTx/>
              <a:latin typeface="Helvetica"/>
              <a:ea typeface="Helvetica"/>
              <a:cs typeface="Helvetica"/>
              <a:sym typeface="Helvetica"/>
            </a:endParaRPr>
          </a:p>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r>
              <a:rPr sz="1400" b="1" i="0" u="none" strike="noStrike" cap="none" spc="0" baseline="0">
                <a:solidFill>
                  <a:srgbClr val="000000"/>
                </a:solidFill>
                <a:uFillTx/>
                <a:latin typeface="Helvetica"/>
                <a:ea typeface="Helvetica"/>
                <a:cs typeface="Helvetica"/>
                <a:sym typeface="Helvetica"/>
              </a:rPr>
              <a:t>Szenario Analyse:</a:t>
            </a:r>
          </a:p>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endParaRPr sz="1400" b="1" i="0" u="none" strike="noStrike" cap="none" spc="0" baseline="0">
              <a:solidFill>
                <a:srgbClr val="000000"/>
              </a:solidFill>
              <a:uFillTx/>
              <a:latin typeface="Helvetica"/>
              <a:ea typeface="Helvetica"/>
              <a:cs typeface="Helvetica"/>
              <a:sym typeface="Helvetica"/>
            </a:endParaRPr>
          </a:p>
          <a:p>
            <a:pPr marL="0" marR="0" indent="0" algn="l" defTabSz="457200" latinLnBrk="0">
              <a:lnSpc>
                <a:spcPct val="100000"/>
              </a:lnSpc>
              <a:spcBef>
                <a:spcPts val="0"/>
              </a:spcBef>
              <a:spcAft>
                <a:spcPts val="0"/>
              </a:spcAft>
              <a:buClrTx/>
              <a:buSzTx/>
              <a:buFontTx/>
              <a:buNone/>
              <a:tabLst/>
              <a:defRPr sz="1400" b="0" i="0" u="none" strike="noStrike" cap="none" spc="0" baseline="0">
                <a:solidFill>
                  <a:srgbClr val="000000"/>
                </a:solidFill>
                <a:uFillTx/>
                <a:latin typeface="Helvetica"/>
                <a:ea typeface="Helvetica"/>
                <a:cs typeface="Helvetica"/>
                <a:sym typeface="Helvetica"/>
              </a:defRPr>
            </a:pPr>
            <a:endParaRPr sz="1400" b="0" i="0" u="none" strike="noStrike" cap="none" spc="0" baseline="0">
              <a:solidFill>
                <a:srgbClr val="000000"/>
              </a:solidFill>
              <a:uFillTx/>
              <a:latin typeface="Helvetica"/>
              <a:ea typeface="Helvetica"/>
              <a:cs typeface="Helvetica"/>
              <a:sym typeface="Helvetica"/>
            </a:endParaRPr>
          </a:p>
          <a:p>
            <a:pPr marL="0" marR="0" indent="0" algn="l" defTabSz="457200" latinLnBrk="0">
              <a:lnSpc>
                <a:spcPct val="100000"/>
              </a:lnSpc>
              <a:spcBef>
                <a:spcPts val="0"/>
              </a:spcBef>
              <a:spcAft>
                <a:spcPts val="0"/>
              </a:spcAft>
              <a:buClrTx/>
              <a:buSzTx/>
              <a:buFontTx/>
              <a:buNone/>
              <a:tabLst/>
              <a:defRPr sz="1400" b="0" i="0" u="none" strike="noStrike" cap="none" spc="0" baseline="0">
                <a:solidFill>
                  <a:srgbClr val="000000"/>
                </a:solidFill>
                <a:uFillTx/>
                <a:latin typeface="Helvetica"/>
                <a:ea typeface="Helvetica"/>
                <a:cs typeface="Helvetica"/>
                <a:sym typeface="Helvetica"/>
              </a:defRPr>
            </a:pPr>
            <a:endParaRPr sz="1400" b="0" i="0" u="none" strike="noStrike" cap="none" spc="0" baseline="0">
              <a:solidFill>
                <a:srgbClr val="000000"/>
              </a:solidFill>
              <a:uFillTx/>
              <a:latin typeface="Helvetica"/>
              <a:ea typeface="Helvetica"/>
              <a:cs typeface="Helvetica"/>
              <a:sym typeface="Helvetica"/>
            </a:endParaRPr>
          </a:p>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r>
              <a:rPr sz="1400" b="1" i="0" u="none" strike="noStrike" cap="none" spc="0" baseline="0">
                <a:solidFill>
                  <a:srgbClr val="000000"/>
                </a:solidFill>
                <a:uFillTx/>
                <a:latin typeface="Helvetica"/>
                <a:ea typeface="Helvetica"/>
                <a:cs typeface="Helvetica"/>
                <a:sym typeface="Helvetica"/>
              </a:rPr>
              <a:t>Qualitative Beschreibung nicht monetarisierbarer Effekte:</a:t>
            </a:r>
          </a:p>
          <a:p>
            <a:pPr marL="0" marR="0" indent="0" algn="l" defTabSz="457200" latinLnBrk="0">
              <a:lnSpc>
                <a:spcPct val="100000"/>
              </a:lnSpc>
              <a:spcBef>
                <a:spcPts val="0"/>
              </a:spcBef>
              <a:spcAft>
                <a:spcPts val="0"/>
              </a:spcAft>
              <a:buClrTx/>
              <a:buSzTx/>
              <a:buFontTx/>
              <a:buNone/>
              <a:tabLst/>
              <a:defRPr sz="1400" b="0" i="0" u="none" strike="noStrike" cap="none" spc="0" baseline="0">
                <a:solidFill>
                  <a:srgbClr val="000000"/>
                </a:solidFill>
                <a:uFillTx/>
                <a:latin typeface="Helvetica"/>
                <a:ea typeface="Helvetica"/>
                <a:cs typeface="Helvetica"/>
                <a:sym typeface="Helvetica"/>
              </a:defRPr>
            </a:pPr>
            <a:endParaRPr sz="1400" b="0" i="0" u="none" strike="noStrike" cap="none" spc="0" baseline="0">
              <a:solidFill>
                <a:srgbClr val="000000"/>
              </a:solidFill>
              <a:uFillTx/>
              <a:latin typeface="Helvetica"/>
              <a:ea typeface="Helvetica"/>
              <a:cs typeface="Helvetica"/>
              <a:sym typeface="Helvetica"/>
            </a:endParaRPr>
          </a:p>
          <a:p>
            <a:pPr marL="0" marR="0" indent="0" algn="l" defTabSz="457200" latinLnBrk="0">
              <a:lnSpc>
                <a:spcPct val="100000"/>
              </a:lnSpc>
              <a:spcBef>
                <a:spcPts val="0"/>
              </a:spcBef>
              <a:spcAft>
                <a:spcPts val="0"/>
              </a:spcAft>
              <a:buClrTx/>
              <a:buSzTx/>
              <a:buFontTx/>
              <a:buNone/>
              <a:tabLst/>
              <a:defRPr sz="1400" b="0" i="0" u="none" strike="noStrike" cap="none" spc="0" baseline="0">
                <a:solidFill>
                  <a:srgbClr val="000000"/>
                </a:solidFill>
                <a:uFillTx/>
                <a:latin typeface="Helvetica"/>
                <a:ea typeface="Helvetica"/>
                <a:cs typeface="Helvetica"/>
                <a:sym typeface="Helvetica"/>
              </a:defRPr>
            </a:pPr>
            <a:r>
              <a:rPr sz="1400" b="0" i="0" u="none" strike="noStrike" cap="none" spc="0" baseline="0">
                <a:solidFill>
                  <a:srgbClr val="000000"/>
                </a:solidFill>
                <a:uFillTx/>
                <a:latin typeface="Helvetica"/>
                <a:ea typeface="Helvetica"/>
                <a:cs typeface="Helvetica"/>
                <a:sym typeface="Helvetica"/>
              </a:rPr>
              <a:t>Neben dem positiven Kapitalwert bewirkt die Investition weiter positive qualitative Effekte. Die neuen Pumpen werden die Zuverlässigkeit der Produktion erhöhen, da die Chance für einen Ausfall der Pumpen durch die Investition verringert wird.</a:t>
            </a:r>
          </a:p>
          <a:p>
            <a:pPr marL="0" marR="0" indent="0" algn="l" defTabSz="457200" latinLnBrk="0">
              <a:lnSpc>
                <a:spcPct val="100000"/>
              </a:lnSpc>
              <a:spcBef>
                <a:spcPts val="0"/>
              </a:spcBef>
              <a:spcAft>
                <a:spcPts val="0"/>
              </a:spcAft>
              <a:buClrTx/>
              <a:buSzTx/>
              <a:buFontTx/>
              <a:buNone/>
              <a:tabLst/>
              <a:defRPr sz="1400" b="0" i="0" u="none" strike="noStrike" cap="none" spc="0" baseline="0">
                <a:solidFill>
                  <a:srgbClr val="000000"/>
                </a:solidFill>
                <a:uFillTx/>
                <a:latin typeface="Helvetica"/>
                <a:ea typeface="Helvetica"/>
                <a:cs typeface="Helvetica"/>
                <a:sym typeface="Helvetica"/>
              </a:defRPr>
            </a:pPr>
            <a:r>
              <a:rPr sz="1400" b="0" i="0" u="none" strike="noStrike" cap="none" spc="0" baseline="0">
                <a:solidFill>
                  <a:srgbClr val="000000"/>
                </a:solidFill>
                <a:uFillTx/>
                <a:latin typeface="Helvetica"/>
                <a:ea typeface="Helvetica"/>
                <a:cs typeface="Helvetica"/>
                <a:sym typeface="Helvetica"/>
              </a:rPr>
              <a:t>Die neuen Pumpen werden den Geräuschpegel in Gebäude 1 von 85dB auf 65dB senken.</a:t>
            </a:r>
          </a:p>
          <a:p>
            <a:pPr marL="0" marR="0" indent="0" algn="l" defTabSz="457200" latinLnBrk="0">
              <a:lnSpc>
                <a:spcPct val="100000"/>
              </a:lnSpc>
              <a:spcBef>
                <a:spcPts val="0"/>
              </a:spcBef>
              <a:spcAft>
                <a:spcPts val="0"/>
              </a:spcAft>
              <a:buClrTx/>
              <a:buSzTx/>
              <a:buFontTx/>
              <a:buNone/>
              <a:tabLst/>
              <a:defRPr sz="1400" b="0" i="0" u="none" strike="noStrike" cap="none" spc="0" baseline="0">
                <a:solidFill>
                  <a:srgbClr val="000000"/>
                </a:solidFill>
                <a:uFillTx/>
                <a:latin typeface="Helvetica"/>
                <a:ea typeface="Helvetica"/>
                <a:cs typeface="Helvetica"/>
                <a:sym typeface="Helvetica"/>
              </a:defRPr>
            </a:pPr>
            <a:r>
              <a:rPr sz="1400" b="0" i="0" u="none" strike="noStrike" cap="none" spc="0" baseline="0">
                <a:solidFill>
                  <a:srgbClr val="000000"/>
                </a:solidFill>
                <a:uFillTx/>
                <a:latin typeface="Helvetica"/>
                <a:ea typeface="Helvetica"/>
                <a:cs typeface="Helvetica"/>
                <a:sym typeface="Helvetica"/>
              </a:rPr>
              <a:t>Zusätzlich führen die Energieeinsparungen zu einer Verringerung der CO2-Emissionen von x Tonnen.</a:t>
            </a:r>
          </a:p>
        </xdr:txBody>
      </xdr:sp>
      <xdr:sp macro="" textlink="">
        <xdr:nvSpPr>
          <xdr:cNvPr id="11" name="Shape 3">
            <a:extLst>
              <a:ext uri="{FF2B5EF4-FFF2-40B4-BE49-F238E27FC236}">
                <a16:creationId xmlns:a16="http://schemas.microsoft.com/office/drawing/2014/main" id="{00000000-0008-0000-0300-00000B000000}"/>
              </a:ext>
            </a:extLst>
          </xdr:cNvPr>
          <xdr:cNvSpPr txBox="1"/>
        </xdr:nvSpPr>
        <xdr:spPr>
          <a:xfrm>
            <a:off x="6350" y="2225855"/>
            <a:ext cx="10477501" cy="876301"/>
          </a:xfrm>
          <a:prstGeom prst="rect">
            <a:avLst/>
          </a:prstGeom>
          <a:noFill/>
          <a:ln w="12700" cap="flat">
            <a:solidFill>
              <a:srgbClr val="53585F"/>
            </a:solidFill>
            <a:prstDash val="solid"/>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r>
              <a:rPr sz="1400" b="1" i="0" u="none" strike="noStrike" cap="none" spc="0" baseline="0">
                <a:solidFill>
                  <a:srgbClr val="000000"/>
                </a:solidFill>
                <a:uFillTx/>
                <a:latin typeface="Helvetica"/>
                <a:ea typeface="Helvetica"/>
                <a:cs typeface="Helvetica"/>
                <a:sym typeface="Helvetica"/>
              </a:rPr>
              <a:t>Vorschlag für die Entscheidung</a:t>
            </a:r>
          </a:p>
          <a:p>
            <a:pPr marL="0" marR="0" indent="0" algn="l" defTabSz="457200" latinLnBrk="0">
              <a:lnSpc>
                <a:spcPct val="100000"/>
              </a:lnSpc>
              <a:spcBef>
                <a:spcPts val="0"/>
              </a:spcBef>
              <a:spcAft>
                <a:spcPts val="0"/>
              </a:spcAft>
              <a:buClrTx/>
              <a:buSzTx/>
              <a:buFontTx/>
              <a:buNone/>
              <a:tabLst/>
              <a:defRPr sz="1400" b="0" i="0" u="none" strike="noStrike" cap="none" spc="0" baseline="0">
                <a:solidFill>
                  <a:srgbClr val="000000"/>
                </a:solidFill>
                <a:uFillTx/>
                <a:latin typeface="Helvetica"/>
                <a:ea typeface="Helvetica"/>
                <a:cs typeface="Helvetica"/>
                <a:sym typeface="Helvetica"/>
              </a:defRPr>
            </a:pPr>
            <a:endParaRPr sz="1400" b="0" i="0" u="none" strike="noStrike" cap="none" spc="0" baseline="0">
              <a:solidFill>
                <a:srgbClr val="000000"/>
              </a:solidFill>
              <a:uFillTx/>
              <a:latin typeface="Helvetica"/>
              <a:ea typeface="Helvetica"/>
              <a:cs typeface="Helvetica"/>
              <a:sym typeface="Helvetica"/>
            </a:endParaRPr>
          </a:p>
          <a:p>
            <a:pPr marL="0" marR="0" indent="0" algn="l" defTabSz="457200" latinLnBrk="0">
              <a:lnSpc>
                <a:spcPct val="100000"/>
              </a:lnSpc>
              <a:spcBef>
                <a:spcPts val="0"/>
              </a:spcBef>
              <a:spcAft>
                <a:spcPts val="0"/>
              </a:spcAft>
              <a:buClrTx/>
              <a:buSzTx/>
              <a:buFontTx/>
              <a:buNone/>
              <a:tabLst/>
              <a:defRPr sz="1400" b="0" i="0" u="none" strike="noStrike" cap="none" spc="0" baseline="0">
                <a:solidFill>
                  <a:srgbClr val="000000"/>
                </a:solidFill>
                <a:uFillTx/>
                <a:latin typeface="Helvetica"/>
                <a:ea typeface="Helvetica"/>
                <a:cs typeface="Helvetica"/>
                <a:sym typeface="Helvetica"/>
              </a:defRPr>
            </a:pPr>
            <a:r>
              <a:rPr sz="1400" b="0" i="0" u="none" strike="noStrike" cap="none" spc="0" baseline="0">
                <a:solidFill>
                  <a:srgbClr val="000000"/>
                </a:solidFill>
                <a:uFillTx/>
                <a:latin typeface="Helvetica"/>
                <a:ea typeface="Helvetica"/>
                <a:cs typeface="Helvetica"/>
                <a:sym typeface="Helvetica"/>
              </a:rPr>
              <a:t>Alle Ergebnisse und Berechnungen finden sich in dem vorliegenden Bericht.</a:t>
            </a:r>
          </a:p>
        </xdr:txBody>
      </xdr:sp>
      <xdr:sp macro="" textlink="">
        <xdr:nvSpPr>
          <xdr:cNvPr id="12" name="Shape 4">
            <a:extLst>
              <a:ext uri="{FF2B5EF4-FFF2-40B4-BE49-F238E27FC236}">
                <a16:creationId xmlns:a16="http://schemas.microsoft.com/office/drawing/2014/main" id="{00000000-0008-0000-0300-00000C000000}"/>
              </a:ext>
            </a:extLst>
          </xdr:cNvPr>
          <xdr:cNvSpPr txBox="1"/>
        </xdr:nvSpPr>
        <xdr:spPr>
          <a:xfrm>
            <a:off x="-19050" y="-29528"/>
            <a:ext cx="10477501" cy="452756"/>
          </a:xfrm>
          <a:prstGeom prst="rect">
            <a:avLst/>
          </a:prstGeom>
          <a:noFill/>
          <a:ln w="12700" cap="flat">
            <a:solidFill>
              <a:srgbClr val="53585F"/>
            </a:solidFill>
            <a:prstDash val="solid"/>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800" b="1" i="0" u="none" strike="noStrike" cap="none" spc="0" baseline="0">
                <a:solidFill>
                  <a:srgbClr val="000000"/>
                </a:solidFill>
                <a:uFillTx/>
                <a:latin typeface="Helvetica"/>
                <a:ea typeface="Helvetica"/>
                <a:cs typeface="Helvetica"/>
                <a:sym typeface="Helvetica"/>
              </a:defRPr>
            </a:pPr>
            <a:r>
              <a:rPr sz="1800" b="1" i="0" u="none" strike="noStrike" cap="none" spc="0" baseline="0">
                <a:solidFill>
                  <a:srgbClr val="000000"/>
                </a:solidFill>
                <a:uFillTx/>
                <a:latin typeface="Helvetica"/>
                <a:ea typeface="Helvetica"/>
                <a:cs typeface="Helvetica"/>
                <a:sym typeface="Helvetica"/>
              </a:rPr>
              <a:t>Bewertungsbericht Nr_1 "Austausch von Kühlpumpen im Gebäude1"</a:t>
            </a:r>
          </a:p>
        </xdr:txBody>
      </xdr:sp>
      <xdr:grpSp>
        <xdr:nvGrpSpPr>
          <xdr:cNvPr id="15" name="Shape 5">
            <a:extLst>
              <a:ext uri="{FF2B5EF4-FFF2-40B4-BE49-F238E27FC236}">
                <a16:creationId xmlns:a16="http://schemas.microsoft.com/office/drawing/2014/main" id="{00000000-0008-0000-0300-00000F000000}"/>
              </a:ext>
            </a:extLst>
          </xdr:cNvPr>
          <xdr:cNvGrpSpPr/>
        </xdr:nvGrpSpPr>
        <xdr:grpSpPr>
          <a:xfrm>
            <a:off x="-12700" y="592154"/>
            <a:ext cx="3926129" cy="365126"/>
            <a:chOff x="-12700" y="-17462"/>
            <a:chExt cx="3926128" cy="365125"/>
          </a:xfrm>
        </xdr:grpSpPr>
        <xdr:sp macro="" textlink="">
          <xdr:nvSpPr>
            <xdr:cNvPr id="13" name="Rechteck">
              <a:extLst>
                <a:ext uri="{FF2B5EF4-FFF2-40B4-BE49-F238E27FC236}">
                  <a16:creationId xmlns:a16="http://schemas.microsoft.com/office/drawing/2014/main" id="{00000000-0008-0000-0300-00000D000000}"/>
                </a:ext>
              </a:extLst>
            </xdr:cNvPr>
            <xdr:cNvSpPr/>
          </xdr:nvSpPr>
          <xdr:spPr>
            <a:xfrm>
              <a:off x="0" y="0"/>
              <a:ext cx="3900729" cy="292083"/>
            </a:xfrm>
            <a:prstGeom prst="rect">
              <a:avLst/>
            </a:prstGeom>
            <a:noFill/>
            <a:ln w="12700" cap="flat">
              <a:solidFill>
                <a:srgbClr val="53585F"/>
              </a:solidFill>
              <a:prstDash val="solid"/>
              <a:miter lim="400000"/>
            </a:ln>
            <a:effectLst/>
          </xdr:spPr>
          <xdr:txBody>
            <a:bodyPr/>
            <a:lstStyle/>
            <a:p>
              <a:endParaRPr/>
            </a:p>
          </xdr:txBody>
        </xdr:sp>
        <xdr:sp macro="" textlink="">
          <xdr:nvSpPr>
            <xdr:cNvPr id="14" name="Name des Vorschlagenden: Karl Schmidt">
              <a:extLst>
                <a:ext uri="{FF2B5EF4-FFF2-40B4-BE49-F238E27FC236}">
                  <a16:creationId xmlns:a16="http://schemas.microsoft.com/office/drawing/2014/main" id="{00000000-0008-0000-0300-00000E000000}"/>
                </a:ext>
              </a:extLst>
            </xdr:cNvPr>
            <xdr:cNvSpPr txBox="1"/>
          </xdr:nvSpPr>
          <xdr:spPr>
            <a:xfrm>
              <a:off x="-12700" y="-17463"/>
              <a:ext cx="3926129" cy="365126"/>
            </a:xfrm>
            <a:prstGeom prst="rect">
              <a:avLst/>
            </a:prstGeom>
            <a:noFill/>
            <a:ln w="12700" cap="flat">
              <a:noFill/>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r>
                <a:rPr sz="1400" b="1" i="0" u="none" strike="noStrike" cap="none" spc="0" baseline="0">
                  <a:solidFill>
                    <a:srgbClr val="000000"/>
                  </a:solidFill>
                  <a:uFillTx/>
                  <a:latin typeface="Helvetica"/>
                  <a:ea typeface="Helvetica"/>
                  <a:cs typeface="Helvetica"/>
                  <a:sym typeface="Helvetica"/>
                </a:rPr>
                <a:t>Name des Vorschlagenden: Karl Schmidt</a:t>
              </a:r>
            </a:p>
          </xdr:txBody>
        </xdr:sp>
      </xdr:grpSp>
      <xdr:sp macro="" textlink="">
        <xdr:nvSpPr>
          <xdr:cNvPr id="16" name="Shape 6">
            <a:extLst>
              <a:ext uri="{FF2B5EF4-FFF2-40B4-BE49-F238E27FC236}">
                <a16:creationId xmlns:a16="http://schemas.microsoft.com/office/drawing/2014/main" id="{00000000-0008-0000-0300-000010000000}"/>
              </a:ext>
            </a:extLst>
          </xdr:cNvPr>
          <xdr:cNvSpPr txBox="1"/>
        </xdr:nvSpPr>
        <xdr:spPr>
          <a:xfrm>
            <a:off x="3968750" y="584851"/>
            <a:ext cx="6486649" cy="379731"/>
          </a:xfrm>
          <a:prstGeom prst="rect">
            <a:avLst/>
          </a:prstGeom>
          <a:noFill/>
          <a:ln w="12700" cap="flat">
            <a:solidFill>
              <a:srgbClr val="53585F"/>
            </a:solidFill>
            <a:prstDash val="solid"/>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r>
              <a:rPr sz="1400" b="1" i="0" u="none" strike="noStrike" cap="none" spc="0" baseline="0">
                <a:solidFill>
                  <a:srgbClr val="000000"/>
                </a:solidFill>
                <a:uFillTx/>
                <a:latin typeface="Helvetica"/>
                <a:ea typeface="Helvetica"/>
                <a:cs typeface="Helvetica"/>
                <a:sym typeface="Helvetica"/>
              </a:rPr>
              <a:t>Datum: 06.07.2022</a:t>
            </a:r>
          </a:p>
        </xdr:txBody>
      </xdr:sp>
      <xdr:sp macro="" textlink="">
        <xdr:nvSpPr>
          <xdr:cNvPr id="17" name="Shape 7">
            <a:extLst>
              <a:ext uri="{FF2B5EF4-FFF2-40B4-BE49-F238E27FC236}">
                <a16:creationId xmlns:a16="http://schemas.microsoft.com/office/drawing/2014/main" id="{00000000-0008-0000-0300-000011000000}"/>
              </a:ext>
            </a:extLst>
          </xdr:cNvPr>
          <xdr:cNvSpPr txBox="1"/>
        </xdr:nvSpPr>
        <xdr:spPr>
          <a:xfrm>
            <a:off x="-19050" y="1013863"/>
            <a:ext cx="10477501" cy="1124586"/>
          </a:xfrm>
          <a:prstGeom prst="rect">
            <a:avLst/>
          </a:prstGeom>
          <a:noFill/>
          <a:ln w="12700" cap="flat">
            <a:solidFill>
              <a:srgbClr val="53585F"/>
            </a:solidFill>
            <a:prstDash val="solid"/>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r>
              <a:rPr sz="1400" b="1" i="0" u="none" strike="noStrike" cap="none" spc="0" baseline="0">
                <a:solidFill>
                  <a:srgbClr val="000000"/>
                </a:solidFill>
                <a:uFillTx/>
                <a:latin typeface="Helvetica"/>
                <a:ea typeface="Helvetica"/>
                <a:cs typeface="Helvetica"/>
                <a:sym typeface="Helvetica"/>
              </a:rPr>
              <a:t>Kurze Beschreibung der energiebezogenen Investition:</a:t>
            </a:r>
          </a:p>
          <a:p>
            <a:pPr marL="0" marR="0" indent="0" algn="l" defTabSz="457200" latinLnBrk="0">
              <a:lnSpc>
                <a:spcPct val="100000"/>
              </a:lnSpc>
              <a:spcBef>
                <a:spcPts val="0"/>
              </a:spcBef>
              <a:spcAft>
                <a:spcPts val="0"/>
              </a:spcAft>
              <a:buClrTx/>
              <a:buSzTx/>
              <a:buFontTx/>
              <a:buNone/>
              <a:tabLst/>
              <a:defRPr sz="1400" b="0" i="0" u="none" strike="noStrike" cap="none" spc="0" baseline="0">
                <a:solidFill>
                  <a:srgbClr val="000000"/>
                </a:solidFill>
                <a:uFillTx/>
                <a:latin typeface="Helvetica"/>
                <a:ea typeface="Helvetica"/>
                <a:cs typeface="Helvetica"/>
                <a:sym typeface="Helvetica"/>
              </a:defRPr>
            </a:pPr>
            <a:r>
              <a:rPr sz="1400" b="0" i="0" u="none" strike="noStrike" cap="none" spc="0" baseline="0">
                <a:solidFill>
                  <a:srgbClr val="000000"/>
                </a:solidFill>
                <a:uFillTx/>
                <a:latin typeface="Helvetica"/>
                <a:ea typeface="Helvetica"/>
                <a:cs typeface="Helvetica"/>
                <a:sym typeface="Helvetica"/>
              </a:rPr>
              <a:t>Um die Energieeffizienz zu erhöhen, sollten die 5 Kühlpumpen in Gebäude 1 durch neue energieeffizientere Pumpen ersetzt werden. Dies insbesondere auch deshalb, da die alten Pumpen aus dem Jahr 1976 stammen und in naher Zukunft wahrscheinlich ausfallen könnten.</a:t>
            </a:r>
          </a:p>
        </xdr:txBody>
      </xdr:sp>
      <xdr:sp macro="" textlink="">
        <xdr:nvSpPr>
          <xdr:cNvPr id="18" name="Shape 8">
            <a:extLst>
              <a:ext uri="{FF2B5EF4-FFF2-40B4-BE49-F238E27FC236}">
                <a16:creationId xmlns:a16="http://schemas.microsoft.com/office/drawing/2014/main" id="{00000000-0008-0000-0300-000012000000}"/>
              </a:ext>
            </a:extLst>
          </xdr:cNvPr>
          <xdr:cNvSpPr txBox="1"/>
        </xdr:nvSpPr>
        <xdr:spPr>
          <a:xfrm>
            <a:off x="-6350" y="7197532"/>
            <a:ext cx="10477501" cy="1124586"/>
          </a:xfrm>
          <a:prstGeom prst="rect">
            <a:avLst/>
          </a:prstGeom>
          <a:noFill/>
          <a:ln w="12700" cap="flat">
            <a:solidFill>
              <a:srgbClr val="53585F"/>
            </a:solidFill>
            <a:prstDash val="solid"/>
            <a:miter lim="400000"/>
          </a:ln>
          <a:effectLst/>
          <a:extLst>
            <a:ext uri="{C572A759-6A51-4108-AA02-DFA0A04FC94B}">
              <ma14:wrappingTextBoxFlag xmlns:ma14="http://schemas.microsoft.com/office/mac/drawingml/2011/main" xmlns:a14="http://schemas.microsoft.com/office/drawing/2010/main" xmlns:m="http://schemas.openxmlformats.org/officeDocument/2006/math" xmlns:r="http://schemas.openxmlformats.org/officeDocument/2006/relationships" xmlns=""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sz="1400" b="1" i="0" u="none" strike="noStrike" cap="none" spc="0" baseline="0">
                <a:solidFill>
                  <a:srgbClr val="000000"/>
                </a:solidFill>
                <a:uFillTx/>
                <a:latin typeface="Helvetica"/>
                <a:ea typeface="Helvetica"/>
                <a:cs typeface="Helvetica"/>
                <a:sym typeface="Helvetica"/>
              </a:defRPr>
            </a:pPr>
            <a:r>
              <a:rPr sz="1400" b="1" i="0" u="none" strike="noStrike" cap="none" spc="0" baseline="0">
                <a:solidFill>
                  <a:srgbClr val="000000"/>
                </a:solidFill>
                <a:uFillTx/>
                <a:latin typeface="Helvetica"/>
                <a:ea typeface="Helvetica"/>
                <a:cs typeface="Helvetica"/>
                <a:sym typeface="Helvetica"/>
              </a:rPr>
              <a:t>Anhang</a:t>
            </a:r>
          </a:p>
          <a:p>
            <a:pPr marL="193963" marR="0" indent="-193963" algn="l" defTabSz="457200" latinLnBrk="0">
              <a:lnSpc>
                <a:spcPct val="100000"/>
              </a:lnSpc>
              <a:spcBef>
                <a:spcPts val="0"/>
              </a:spcBef>
              <a:spcAft>
                <a:spcPts val="0"/>
              </a:spcAft>
              <a:buClrTx/>
              <a:buSzPct val="120000"/>
              <a:buFontTx/>
              <a:buChar char="•"/>
              <a:tabLst/>
              <a:defRPr sz="1400" b="0" i="0" u="none" strike="noStrike" cap="none" spc="0" baseline="0">
                <a:solidFill>
                  <a:srgbClr val="000000"/>
                </a:solidFill>
                <a:uFillTx/>
                <a:latin typeface="Helvetica"/>
                <a:ea typeface="Helvetica"/>
                <a:cs typeface="Helvetica"/>
                <a:sym typeface="Helvetica"/>
              </a:defRPr>
            </a:pPr>
            <a:r>
              <a:rPr sz="1400" b="0" i="0" u="none" strike="noStrike" cap="none" spc="0" baseline="0">
                <a:solidFill>
                  <a:srgbClr val="000000"/>
                </a:solidFill>
                <a:uFillTx/>
                <a:latin typeface="Helvetica"/>
                <a:ea typeface="Helvetica"/>
                <a:cs typeface="Helvetica"/>
                <a:sym typeface="Helvetica"/>
              </a:rPr>
              <a:t>Tabelle 1: Berechnung des Kapitalwerts (Wahrscheinlicher Fall)</a:t>
            </a:r>
          </a:p>
          <a:p>
            <a:pPr marL="193963" marR="0" indent="-193963" algn="l" defTabSz="457200" latinLnBrk="0">
              <a:lnSpc>
                <a:spcPct val="100000"/>
              </a:lnSpc>
              <a:spcBef>
                <a:spcPts val="0"/>
              </a:spcBef>
              <a:spcAft>
                <a:spcPts val="0"/>
              </a:spcAft>
              <a:buClrTx/>
              <a:buSzPct val="120000"/>
              <a:buFontTx/>
              <a:buChar char="•"/>
              <a:tabLst/>
              <a:defRPr sz="1400" b="0" i="0" u="none" strike="noStrike" cap="none" spc="0" baseline="0">
                <a:solidFill>
                  <a:srgbClr val="000000"/>
                </a:solidFill>
                <a:uFillTx/>
                <a:latin typeface="Helvetica"/>
                <a:ea typeface="Helvetica"/>
                <a:cs typeface="Helvetica"/>
                <a:sym typeface="Helvetica"/>
              </a:defRPr>
            </a:pPr>
            <a:r>
              <a:rPr sz="1400" b="0" i="0" u="none" strike="noStrike" cap="none" spc="0" baseline="0">
                <a:solidFill>
                  <a:srgbClr val="000000"/>
                </a:solidFill>
                <a:uFillTx/>
                <a:latin typeface="Helvetica"/>
                <a:ea typeface="Helvetica"/>
                <a:cs typeface="Helvetica"/>
                <a:sym typeface="Helvetica"/>
              </a:rPr>
              <a:t>Tabelle 2: Berechnung des Kapitalwerts (Best-Case Szenario)</a:t>
            </a:r>
          </a:p>
          <a:p>
            <a:pPr marL="193963" marR="0" indent="-193963" algn="l" defTabSz="457200" latinLnBrk="0">
              <a:lnSpc>
                <a:spcPct val="100000"/>
              </a:lnSpc>
              <a:spcBef>
                <a:spcPts val="0"/>
              </a:spcBef>
              <a:spcAft>
                <a:spcPts val="0"/>
              </a:spcAft>
              <a:buClrTx/>
              <a:buSzPct val="120000"/>
              <a:buFontTx/>
              <a:buChar char="•"/>
              <a:tabLst/>
              <a:defRPr sz="1400" b="0" i="0" u="none" strike="noStrike" cap="none" spc="0" baseline="0">
                <a:solidFill>
                  <a:srgbClr val="000000"/>
                </a:solidFill>
                <a:uFillTx/>
                <a:latin typeface="Helvetica"/>
                <a:ea typeface="Helvetica"/>
                <a:cs typeface="Helvetica"/>
                <a:sym typeface="Helvetica"/>
              </a:defRPr>
            </a:pPr>
            <a:r>
              <a:rPr sz="1400" b="0" i="0" u="none" strike="noStrike" cap="none" spc="0" baseline="0">
                <a:solidFill>
                  <a:srgbClr val="000000"/>
                </a:solidFill>
                <a:uFillTx/>
                <a:latin typeface="Helvetica"/>
                <a:ea typeface="Helvetica"/>
                <a:cs typeface="Helvetica"/>
                <a:sym typeface="Helvetica"/>
              </a:rPr>
              <a:t>Tabelle 3: Berechnung des Kapitalwerts (Worst-Case Szenario)</a:t>
            </a:r>
          </a:p>
        </xdr:txBody>
      </xdr:sp>
    </xdr:grpSp>
    <xdr:clientData/>
  </xdr:twoCellAnchor>
</xdr:wsDr>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584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2"/>
  <sheetViews>
    <sheetView showGridLines="0" tabSelected="1" workbookViewId="0">
      <selection activeCell="L8" sqref="L8"/>
    </sheetView>
  </sheetViews>
  <sheetFormatPr baseColWidth="10" defaultColWidth="45" defaultRowHeight="17" customHeight="1" x14ac:dyDescent="0.15"/>
  <cols>
    <col min="1" max="1" width="70.1640625" style="1" customWidth="1"/>
    <col min="2" max="2" width="24" style="1" customWidth="1"/>
    <col min="3" max="7" width="20" style="1" customWidth="1"/>
    <col min="8" max="8" width="17.83203125" style="1" customWidth="1"/>
    <col min="9" max="12" width="20" style="1" customWidth="1"/>
    <col min="13" max="13" width="45" style="1" customWidth="1"/>
    <col min="14" max="16384" width="45" style="1"/>
  </cols>
  <sheetData>
    <row r="1" spans="1:12" ht="115.5" customHeight="1" x14ac:dyDescent="0.15"/>
    <row r="2" spans="1:12" ht="45.5" customHeight="1" x14ac:dyDescent="0.15">
      <c r="A2" s="2" t="s">
        <v>0</v>
      </c>
      <c r="B2" s="3">
        <v>0.03</v>
      </c>
      <c r="C2" s="4"/>
      <c r="D2" s="4"/>
      <c r="E2" s="4"/>
      <c r="F2" s="4"/>
      <c r="G2" s="4"/>
      <c r="H2" s="4"/>
      <c r="I2" s="4"/>
      <c r="J2" s="4"/>
      <c r="K2" s="4"/>
      <c r="L2" s="4"/>
    </row>
    <row r="3" spans="1:12" ht="44.75" customHeight="1" x14ac:dyDescent="0.15">
      <c r="A3" s="5" t="s">
        <v>1</v>
      </c>
      <c r="B3" s="6">
        <v>0.04</v>
      </c>
      <c r="C3" s="7"/>
      <c r="D3" s="7"/>
      <c r="E3" s="7"/>
      <c r="F3" s="7"/>
      <c r="G3" s="7"/>
      <c r="H3" s="7"/>
      <c r="I3" s="7"/>
      <c r="J3" s="7"/>
      <c r="K3" s="7"/>
      <c r="L3" s="7"/>
    </row>
    <row r="4" spans="1:12" ht="44.75" customHeight="1" x14ac:dyDescent="0.15">
      <c r="A4" s="5" t="s">
        <v>2</v>
      </c>
      <c r="B4" s="8">
        <v>0.16</v>
      </c>
      <c r="C4" s="9"/>
      <c r="D4" s="7"/>
      <c r="E4" s="7"/>
      <c r="F4" s="7"/>
      <c r="G4" s="7"/>
      <c r="H4" s="7"/>
      <c r="I4" s="7"/>
      <c r="J4" s="7"/>
      <c r="K4" s="7"/>
      <c r="L4" s="7"/>
    </row>
    <row r="5" spans="1:12" ht="44.75" customHeight="1" x14ac:dyDescent="0.15">
      <c r="A5" s="5" t="s">
        <v>3</v>
      </c>
      <c r="B5" s="10">
        <v>350000</v>
      </c>
      <c r="C5" s="9"/>
      <c r="D5" s="7"/>
      <c r="E5" s="7"/>
      <c r="F5" s="7"/>
      <c r="G5" s="7"/>
      <c r="H5" s="7"/>
      <c r="I5" s="7"/>
      <c r="J5" s="7"/>
      <c r="K5" s="7"/>
      <c r="L5" s="7"/>
    </row>
    <row r="6" spans="1:12" ht="44.75" customHeight="1" x14ac:dyDescent="0.15">
      <c r="A6" s="5" t="s">
        <v>4</v>
      </c>
      <c r="B6" s="11">
        <v>300000</v>
      </c>
      <c r="C6" s="9"/>
      <c r="D6" s="7"/>
      <c r="E6" s="7"/>
      <c r="F6" s="7"/>
      <c r="G6" s="7"/>
      <c r="H6" s="7"/>
      <c r="I6" s="7"/>
      <c r="J6" s="7"/>
      <c r="K6" s="7"/>
      <c r="L6" s="7"/>
    </row>
    <row r="7" spans="1:12" ht="44.75" customHeight="1" x14ac:dyDescent="0.15">
      <c r="A7" s="12" t="s">
        <v>5</v>
      </c>
      <c r="B7" s="13">
        <v>10</v>
      </c>
      <c r="C7" s="14"/>
      <c r="D7" s="15"/>
      <c r="E7" s="15"/>
      <c r="F7" s="15"/>
      <c r="G7" s="15"/>
      <c r="H7" s="15"/>
      <c r="I7" s="15"/>
      <c r="J7" s="15"/>
      <c r="K7" s="15"/>
      <c r="L7" s="16"/>
    </row>
    <row r="8" spans="1:12" ht="44.75" customHeight="1" x14ac:dyDescent="0.15">
      <c r="A8" s="12" t="s">
        <v>6</v>
      </c>
      <c r="B8" s="17">
        <f>ROUND(B7*0.2,0)</f>
        <v>2</v>
      </c>
      <c r="C8" s="18"/>
      <c r="D8" s="19"/>
      <c r="E8" s="19"/>
      <c r="F8" s="19"/>
      <c r="G8" s="19"/>
      <c r="H8" s="19"/>
      <c r="I8" s="19"/>
      <c r="J8" s="19"/>
      <c r="K8" s="19"/>
      <c r="L8" s="20"/>
    </row>
    <row r="9" spans="1:12" ht="44.75" customHeight="1" x14ac:dyDescent="0.15">
      <c r="A9" s="21" t="s">
        <v>7</v>
      </c>
      <c r="B9" s="22">
        <v>0</v>
      </c>
      <c r="C9" s="22">
        <v>1</v>
      </c>
      <c r="D9" s="22">
        <v>2</v>
      </c>
      <c r="E9" s="22">
        <v>3</v>
      </c>
      <c r="F9" s="22">
        <v>4</v>
      </c>
      <c r="G9" s="22">
        <v>5</v>
      </c>
      <c r="H9" s="22">
        <v>6</v>
      </c>
      <c r="I9" s="22">
        <v>7</v>
      </c>
      <c r="J9" s="22">
        <v>8</v>
      </c>
      <c r="K9" s="22">
        <v>9</v>
      </c>
      <c r="L9" s="22">
        <v>10</v>
      </c>
    </row>
    <row r="10" spans="1:12" ht="41.5" customHeight="1" x14ac:dyDescent="0.15">
      <c r="A10" s="23" t="s">
        <v>8</v>
      </c>
      <c r="B10" s="24"/>
      <c r="C10" s="25">
        <f t="shared" ref="C10:L10" si="0">$B$4*(1+$B$3)^C9</f>
        <v>0.16640000000000002</v>
      </c>
      <c r="D10" s="25">
        <f t="shared" si="0"/>
        <v>0.17305600000000002</v>
      </c>
      <c r="E10" s="25">
        <f t="shared" si="0"/>
        <v>0.17997824000000001</v>
      </c>
      <c r="F10" s="25">
        <f t="shared" si="0"/>
        <v>0.18717736960000003</v>
      </c>
      <c r="G10" s="25">
        <f t="shared" si="0"/>
        <v>0.19466446438400006</v>
      </c>
      <c r="H10" s="25">
        <f t="shared" si="0"/>
        <v>0.20245104295936006</v>
      </c>
      <c r="I10" s="25">
        <f t="shared" si="0"/>
        <v>0.21054908467773445</v>
      </c>
      <c r="J10" s="25">
        <f t="shared" si="0"/>
        <v>0.21897104806484385</v>
      </c>
      <c r="K10" s="25">
        <f t="shared" si="0"/>
        <v>0.22772988998743762</v>
      </c>
      <c r="L10" s="26">
        <f t="shared" si="0"/>
        <v>0.23683908558693514</v>
      </c>
    </row>
    <row r="11" spans="1:12" ht="44.75" customHeight="1" x14ac:dyDescent="0.15">
      <c r="A11" s="27" t="s">
        <v>9</v>
      </c>
      <c r="B11" s="28"/>
      <c r="C11" s="29"/>
      <c r="D11" s="29"/>
      <c r="E11" s="29"/>
      <c r="F11" s="29"/>
      <c r="G11" s="29"/>
      <c r="H11" s="29"/>
      <c r="I11" s="29"/>
      <c r="J11" s="29"/>
      <c r="K11" s="29"/>
      <c r="L11" s="30"/>
    </row>
    <row r="12" spans="1:12" ht="44.75" customHeight="1" x14ac:dyDescent="0.15">
      <c r="A12" s="31" t="s">
        <v>10</v>
      </c>
      <c r="B12" s="32">
        <v>-300000</v>
      </c>
      <c r="C12" s="33"/>
      <c r="D12" s="33"/>
      <c r="E12" s="33"/>
      <c r="F12" s="33"/>
      <c r="G12" s="33"/>
      <c r="H12" s="33"/>
      <c r="I12" s="33"/>
      <c r="J12" s="33"/>
      <c r="K12" s="33"/>
      <c r="L12" s="34"/>
    </row>
    <row r="13" spans="1:12" ht="44.75" customHeight="1" x14ac:dyDescent="0.15">
      <c r="A13" s="27" t="s">
        <v>11</v>
      </c>
      <c r="B13" s="35"/>
      <c r="C13" s="36"/>
      <c r="D13" s="36"/>
      <c r="E13" s="36"/>
      <c r="F13" s="36"/>
      <c r="G13" s="36"/>
      <c r="H13" s="36"/>
      <c r="I13" s="36"/>
      <c r="J13" s="36"/>
      <c r="K13" s="36"/>
      <c r="L13" s="37"/>
    </row>
    <row r="14" spans="1:12" ht="44.75" customHeight="1" x14ac:dyDescent="0.15">
      <c r="A14" s="38" t="s">
        <v>12</v>
      </c>
      <c r="B14" s="32"/>
      <c r="C14" s="33">
        <f t="shared" ref="C14:L14" si="1">$B$5*C10</f>
        <v>58240.000000000007</v>
      </c>
      <c r="D14" s="33">
        <f t="shared" si="1"/>
        <v>60569.600000000006</v>
      </c>
      <c r="E14" s="33">
        <f t="shared" si="1"/>
        <v>62992.384000000005</v>
      </c>
      <c r="F14" s="33">
        <f t="shared" si="1"/>
        <v>65512.079360000011</v>
      </c>
      <c r="G14" s="33">
        <f t="shared" si="1"/>
        <v>68132.562534400029</v>
      </c>
      <c r="H14" s="33">
        <f t="shared" si="1"/>
        <v>70857.86503577602</v>
      </c>
      <c r="I14" s="33">
        <f t="shared" si="1"/>
        <v>73692.179637207053</v>
      </c>
      <c r="J14" s="33">
        <f t="shared" si="1"/>
        <v>76639.866822695345</v>
      </c>
      <c r="K14" s="33">
        <f t="shared" si="1"/>
        <v>79705.461495603173</v>
      </c>
      <c r="L14" s="34">
        <f t="shared" si="1"/>
        <v>82893.679955427302</v>
      </c>
    </row>
    <row r="15" spans="1:12" ht="44.75" customHeight="1" x14ac:dyDescent="0.15">
      <c r="A15" s="39" t="s">
        <v>13</v>
      </c>
      <c r="B15" s="35"/>
      <c r="C15" s="36"/>
      <c r="D15" s="36"/>
      <c r="E15" s="36"/>
      <c r="F15" s="36"/>
      <c r="G15" s="36"/>
      <c r="H15" s="36"/>
      <c r="I15" s="36"/>
      <c r="J15" s="36"/>
      <c r="K15" s="36"/>
      <c r="L15" s="37"/>
    </row>
    <row r="16" spans="1:12" ht="44.75" customHeight="1" x14ac:dyDescent="0.15">
      <c r="A16" s="40" t="s">
        <v>14</v>
      </c>
      <c r="B16" s="41">
        <f t="shared" ref="B16:L16" si="2">SUM(B12:B14)</f>
        <v>-300000</v>
      </c>
      <c r="C16" s="42">
        <f t="shared" si="2"/>
        <v>58240.000000000007</v>
      </c>
      <c r="D16" s="42">
        <f t="shared" si="2"/>
        <v>60569.600000000006</v>
      </c>
      <c r="E16" s="42">
        <f t="shared" si="2"/>
        <v>62992.384000000005</v>
      </c>
      <c r="F16" s="42">
        <f t="shared" si="2"/>
        <v>65512.079360000011</v>
      </c>
      <c r="G16" s="42">
        <f t="shared" si="2"/>
        <v>68132.562534400029</v>
      </c>
      <c r="H16" s="42">
        <f t="shared" si="2"/>
        <v>70857.86503577602</v>
      </c>
      <c r="I16" s="42">
        <f t="shared" si="2"/>
        <v>73692.179637207053</v>
      </c>
      <c r="J16" s="42">
        <f t="shared" si="2"/>
        <v>76639.866822695345</v>
      </c>
      <c r="K16" s="42">
        <f t="shared" si="2"/>
        <v>79705.461495603173</v>
      </c>
      <c r="L16" s="43">
        <f t="shared" si="2"/>
        <v>82893.679955427302</v>
      </c>
    </row>
    <row r="17" spans="1:12" ht="44.75" customHeight="1" x14ac:dyDescent="0.15">
      <c r="A17" s="40" t="s">
        <v>15</v>
      </c>
      <c r="B17" s="41">
        <f>B16</f>
        <v>-300000</v>
      </c>
      <c r="C17" s="42">
        <f t="shared" ref="C17:L17" si="3">C16/(1+$B$2)^C9</f>
        <v>56543.689320388352</v>
      </c>
      <c r="D17" s="42">
        <f t="shared" si="3"/>
        <v>57092.657177867855</v>
      </c>
      <c r="E17" s="42">
        <f t="shared" si="3"/>
        <v>57646.954820371422</v>
      </c>
      <c r="F17" s="42">
        <f t="shared" si="3"/>
        <v>58206.633993384748</v>
      </c>
      <c r="G17" s="42">
        <f t="shared" si="3"/>
        <v>58771.746944776853</v>
      </c>
      <c r="H17" s="42">
        <f t="shared" si="3"/>
        <v>59342.346429677586</v>
      </c>
      <c r="I17" s="42">
        <f t="shared" si="3"/>
        <v>59918.485715402603</v>
      </c>
      <c r="J17" s="42">
        <f t="shared" si="3"/>
        <v>60500.218586425945</v>
      </c>
      <c r="K17" s="42">
        <f t="shared" si="3"/>
        <v>61087.59934940096</v>
      </c>
      <c r="L17" s="43">
        <f t="shared" si="3"/>
        <v>61680.682838230096</v>
      </c>
    </row>
    <row r="18" spans="1:12" ht="44.75" customHeight="1" x14ac:dyDescent="0.15">
      <c r="A18" s="44" t="s">
        <v>16</v>
      </c>
      <c r="B18" s="41">
        <f>SUM($B$17:B17)</f>
        <v>-300000</v>
      </c>
      <c r="C18" s="42">
        <f>SUM($B$17:C17)</f>
        <v>-243456.31067961163</v>
      </c>
      <c r="D18" s="42">
        <f>SUM($B$17:D17)</f>
        <v>-186363.65350174377</v>
      </c>
      <c r="E18" s="42">
        <f>SUM($B$17:E17)</f>
        <v>-128716.69868137235</v>
      </c>
      <c r="F18" s="42">
        <f>SUM($B$17:F17)</f>
        <v>-70510.0646879876</v>
      </c>
      <c r="G18" s="42">
        <f>SUM($B$17:G17)</f>
        <v>-11738.317743210748</v>
      </c>
      <c r="H18" s="42">
        <f>SUM($B$17:H17)</f>
        <v>47604.028686466838</v>
      </c>
      <c r="I18" s="42">
        <f>SUM($B$17:I17)</f>
        <v>107522.51440186944</v>
      </c>
      <c r="J18" s="42">
        <f>SUM($B$17:J17)</f>
        <v>168022.73298829538</v>
      </c>
      <c r="K18" s="45">
        <f>SUM($B$17:K17)</f>
        <v>229110.33233769634</v>
      </c>
      <c r="L18" s="46">
        <f>SUM($B$17:L17)</f>
        <v>290791.01517592644</v>
      </c>
    </row>
    <row r="19" spans="1:12" ht="45.5" customHeight="1" x14ac:dyDescent="0.15">
      <c r="A19" s="47" t="s">
        <v>17</v>
      </c>
      <c r="B19" s="48">
        <f>SUM(B17:L17)</f>
        <v>290791.01517592644</v>
      </c>
      <c r="C19" s="49"/>
      <c r="D19" s="49"/>
      <c r="E19" s="49"/>
      <c r="F19" s="49"/>
      <c r="G19" s="49"/>
      <c r="H19" s="49"/>
      <c r="I19" s="49"/>
      <c r="J19" s="49"/>
      <c r="K19" s="49"/>
      <c r="L19" s="50"/>
    </row>
    <row r="20" spans="1:12" ht="10" hidden="1" customHeight="1" x14ac:dyDescent="0.15">
      <c r="A20" s="51" t="s">
        <v>18</v>
      </c>
      <c r="B20" s="52">
        <f>SUM(B17)</f>
        <v>-300000</v>
      </c>
      <c r="C20" s="52" t="e">
        <f>SUM($B$17:C17)*#REF!</f>
        <v>#REF!</v>
      </c>
      <c r="D20" s="52" t="e">
        <f>SUM($B$17:D17)*#REF!</f>
        <v>#REF!</v>
      </c>
      <c r="E20" s="52" t="e">
        <f>SUM($B$17:E17)*#REF!</f>
        <v>#REF!</v>
      </c>
      <c r="F20" s="52" t="e">
        <f>SUM($B$17:F17)*#REF!</f>
        <v>#REF!</v>
      </c>
      <c r="G20" s="52" t="e">
        <f>SUM($B$17:G17)*#REF!</f>
        <v>#REF!</v>
      </c>
      <c r="H20" s="52" t="e">
        <f>SUM($B$17:H17)*#REF!</f>
        <v>#REF!</v>
      </c>
      <c r="I20" s="52" t="e">
        <f>SUM($B$17:I17)*#REF!</f>
        <v>#REF!</v>
      </c>
      <c r="J20" s="52" t="e">
        <f>SUM($B$17:J17)*#REF!</f>
        <v>#REF!</v>
      </c>
      <c r="K20" s="52" t="e">
        <f>SUM($B$17:K17)*#REF!</f>
        <v>#REF!</v>
      </c>
      <c r="L20" s="53" t="e">
        <f>SUM($B$17:L17)*#REF!</f>
        <v>#REF!</v>
      </c>
    </row>
    <row r="21" spans="1:12" ht="10" hidden="1" customHeight="1" x14ac:dyDescent="0.15">
      <c r="A21" s="54" t="s">
        <v>19</v>
      </c>
      <c r="B21" s="55" t="e">
        <f>SUM(C21:L21)</f>
        <v>#REF!</v>
      </c>
      <c r="C21" s="56" t="e">
        <f t="shared" ref="C21:L21" si="4">IF(AND(B20&lt;0,C20&gt;=0),B9+(B20/(B20-C20)),"")</f>
        <v>#REF!</v>
      </c>
      <c r="D21" s="56" t="e">
        <f t="shared" si="4"/>
        <v>#REF!</v>
      </c>
      <c r="E21" s="56" t="e">
        <f t="shared" si="4"/>
        <v>#REF!</v>
      </c>
      <c r="F21" s="56" t="e">
        <f t="shared" si="4"/>
        <v>#REF!</v>
      </c>
      <c r="G21" s="56" t="e">
        <f t="shared" si="4"/>
        <v>#REF!</v>
      </c>
      <c r="H21" s="56" t="e">
        <f t="shared" si="4"/>
        <v>#REF!</v>
      </c>
      <c r="I21" s="56" t="e">
        <f t="shared" si="4"/>
        <v>#REF!</v>
      </c>
      <c r="J21" s="56" t="e">
        <f t="shared" si="4"/>
        <v>#REF!</v>
      </c>
      <c r="K21" s="56" t="e">
        <f t="shared" si="4"/>
        <v>#REF!</v>
      </c>
      <c r="L21" s="57" t="e">
        <f t="shared" si="4"/>
        <v>#REF!</v>
      </c>
    </row>
    <row r="22" spans="1:12" ht="10" hidden="1" customHeight="1" x14ac:dyDescent="0.15">
      <c r="A22" s="54" t="s">
        <v>20</v>
      </c>
      <c r="B22" s="58">
        <f>IRR(B16:L16,5%)</f>
        <v>0.1785478696309033</v>
      </c>
      <c r="C22" s="56"/>
      <c r="D22" s="56"/>
      <c r="E22" s="56"/>
      <c r="F22" s="56"/>
      <c r="G22" s="56"/>
      <c r="H22" s="56"/>
      <c r="I22" s="56"/>
      <c r="J22" s="56"/>
      <c r="K22" s="56"/>
      <c r="L22" s="57"/>
    </row>
  </sheetData>
  <conditionalFormatting sqref="B9">
    <cfRule type="cellIs" dxfId="21" priority="2" stopIfTrue="1" operator="equal">
      <formula>B8</formula>
    </cfRule>
  </conditionalFormatting>
  <conditionalFormatting sqref="C9">
    <cfRule type="cellIs" dxfId="20" priority="3" stopIfTrue="1" operator="equal">
      <formula>B$8</formula>
    </cfRule>
  </conditionalFormatting>
  <conditionalFormatting sqref="D9">
    <cfRule type="cellIs" dxfId="19" priority="4" stopIfTrue="1" operator="equal">
      <formula>B$8</formula>
    </cfRule>
  </conditionalFormatting>
  <conditionalFormatting sqref="E9">
    <cfRule type="cellIs" dxfId="18" priority="5" stopIfTrue="1" operator="equal">
      <formula>B$8</formula>
    </cfRule>
  </conditionalFormatting>
  <conditionalFormatting sqref="F9">
    <cfRule type="cellIs" dxfId="17" priority="6" stopIfTrue="1" operator="equal">
      <formula>B$8</formula>
    </cfRule>
  </conditionalFormatting>
  <conditionalFormatting sqref="G9">
    <cfRule type="cellIs" dxfId="16" priority="7" stopIfTrue="1" operator="equal">
      <formula>B$8</formula>
    </cfRule>
  </conditionalFormatting>
  <conditionalFormatting sqref="H9">
    <cfRule type="cellIs" dxfId="15" priority="8" stopIfTrue="1" operator="equal">
      <formula>B$8</formula>
    </cfRule>
  </conditionalFormatting>
  <conditionalFormatting sqref="I9">
    <cfRule type="cellIs" dxfId="14" priority="9" stopIfTrue="1" operator="equal">
      <formula>B$8</formula>
    </cfRule>
  </conditionalFormatting>
  <conditionalFormatting sqref="J9">
    <cfRule type="cellIs" dxfId="13" priority="10" stopIfTrue="1" operator="equal">
      <formula>B$8</formula>
    </cfRule>
  </conditionalFormatting>
  <conditionalFormatting sqref="K9">
    <cfRule type="cellIs" dxfId="12" priority="11" stopIfTrue="1" operator="equal">
      <formula>B$8</formula>
    </cfRule>
  </conditionalFormatting>
  <conditionalFormatting sqref="L9">
    <cfRule type="cellIs" dxfId="11" priority="12" stopIfTrue="1" operator="equal">
      <formula>B$8</formula>
    </cfRule>
  </conditionalFormatting>
  <conditionalFormatting sqref="B18:L18">
    <cfRule type="colorScale" priority="1">
      <colorScale>
        <cfvo type="num" val="0"/>
        <cfvo type="num" val="0"/>
        <color rgb="FFFF7128"/>
        <color theme="6" tint="-0.249977111117893"/>
      </colorScale>
    </cfRule>
  </conditionalFormatting>
  <pageMargins left="0.5" right="0.5" top="0.75" bottom="0.75" header="0.27777800000000002" footer="0.27777800000000002"/>
  <pageSetup scale="72" orientation="portrait"/>
  <headerFooter>
    <oddFooter>&amp;C&amp;"Helvetica Neue,Regular"&amp;12&amp;K000000&amp;P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91"/>
  <sheetViews>
    <sheetView showGridLines="0" workbookViewId="0">
      <selection activeCell="D20" sqref="D20"/>
    </sheetView>
  </sheetViews>
  <sheetFormatPr baseColWidth="10" defaultColWidth="45" defaultRowHeight="17" customHeight="1" x14ac:dyDescent="0.15"/>
  <cols>
    <col min="1" max="1" width="2" style="59" customWidth="1"/>
    <col min="2" max="2" width="18.83203125" style="59" customWidth="1"/>
    <col min="3" max="3" width="54.5" style="59" customWidth="1"/>
    <col min="4" max="4" width="43.33203125" style="59" customWidth="1"/>
    <col min="5" max="5" width="13.5" style="59" customWidth="1"/>
    <col min="6" max="6" width="23.83203125" style="59" customWidth="1"/>
    <col min="7" max="7" width="28.5" style="59" customWidth="1"/>
    <col min="8" max="8" width="19.5" style="59" customWidth="1"/>
    <col min="9" max="9" width="16.5" style="59" customWidth="1"/>
    <col min="10" max="10" width="15.6640625" style="59" customWidth="1"/>
    <col min="11" max="11" width="25.83203125" style="59" customWidth="1"/>
    <col min="12" max="12" width="20.5" style="59" customWidth="1"/>
    <col min="13" max="13" width="27.33203125" style="59" customWidth="1"/>
    <col min="14" max="14" width="56" style="91" customWidth="1"/>
    <col min="15" max="15" width="23.5" style="91" customWidth="1"/>
    <col min="16" max="16" width="21.83203125" style="91" customWidth="1"/>
    <col min="17" max="17" width="20.33203125" style="91" customWidth="1"/>
    <col min="18" max="20" width="9.83203125" style="91" customWidth="1"/>
    <col min="21" max="21" width="10.6640625" style="91" customWidth="1"/>
    <col min="22" max="22" width="8.5" style="91" customWidth="1"/>
    <col min="23" max="23" width="21.83203125" style="91" customWidth="1"/>
    <col min="24" max="24" width="27.1640625" style="91" customWidth="1"/>
    <col min="25" max="25" width="28.5" style="91" customWidth="1"/>
    <col min="26" max="26" width="16.5" style="91" customWidth="1"/>
    <col min="27" max="27" width="15.6640625" style="91" customWidth="1"/>
    <col min="28" max="28" width="25.83203125" style="91" customWidth="1"/>
    <col min="29" max="29" width="20.5" style="91" customWidth="1"/>
    <col min="30" max="30" width="27.33203125" style="91" customWidth="1"/>
    <col min="31" max="41" width="9.83203125" style="91" customWidth="1"/>
    <col min="42" max="42" width="45" style="91" customWidth="1"/>
    <col min="43" max="16384" width="45" style="91"/>
  </cols>
  <sheetData>
    <row r="1" spans="2:41" ht="409" customHeight="1" x14ac:dyDescent="0.15"/>
    <row r="2" spans="2:41" ht="9.75" customHeight="1" x14ac:dyDescent="0.15"/>
    <row r="3" spans="2:41" ht="26.75" customHeight="1" x14ac:dyDescent="0.15">
      <c r="B3" s="400" t="s">
        <v>21</v>
      </c>
      <c r="C3" s="400"/>
      <c r="D3" s="400"/>
      <c r="E3" s="400"/>
      <c r="F3" s="400"/>
      <c r="G3" s="400"/>
      <c r="H3" s="400"/>
      <c r="I3" s="400"/>
      <c r="J3" s="400"/>
      <c r="K3" s="400"/>
      <c r="L3" s="400"/>
      <c r="M3" s="400"/>
    </row>
    <row r="4" spans="2:41" ht="54.75" customHeight="1" x14ac:dyDescent="0.15">
      <c r="B4" s="406" t="s">
        <v>22</v>
      </c>
      <c r="C4" s="407"/>
      <c r="D4" s="60" t="s">
        <v>23</v>
      </c>
      <c r="E4" s="60" t="s">
        <v>24</v>
      </c>
      <c r="F4" s="60" t="s">
        <v>25</v>
      </c>
      <c r="G4" s="60" t="s">
        <v>26</v>
      </c>
      <c r="H4" s="60" t="s">
        <v>27</v>
      </c>
      <c r="I4" s="60" t="s">
        <v>28</v>
      </c>
      <c r="J4" s="60" t="s">
        <v>29</v>
      </c>
      <c r="K4" s="60" t="s">
        <v>30</v>
      </c>
      <c r="L4" s="60" t="s">
        <v>31</v>
      </c>
      <c r="M4" s="61" t="s">
        <v>32</v>
      </c>
    </row>
    <row r="5" spans="2:41" ht="30" customHeight="1" x14ac:dyDescent="0.15">
      <c r="B5" s="62" t="s">
        <v>33</v>
      </c>
      <c r="C5" s="63" t="s">
        <v>34</v>
      </c>
      <c r="D5" s="64">
        <v>10</v>
      </c>
      <c r="E5" s="65" t="s">
        <v>35</v>
      </c>
      <c r="F5" s="65" t="s">
        <v>36</v>
      </c>
      <c r="G5" s="66">
        <v>1000</v>
      </c>
      <c r="H5" s="63" t="str">
        <f t="shared" ref="H5:H13" si="0">"€ pro "&amp;E5</f>
        <v>€ pro Stk.</v>
      </c>
      <c r="I5" s="67">
        <f>IF(F5="ja",D5*G5,"-")</f>
        <v>10000</v>
      </c>
      <c r="J5" s="65" t="s">
        <v>37</v>
      </c>
      <c r="K5" s="65" t="s">
        <v>38</v>
      </c>
      <c r="L5" s="65" t="s">
        <v>39</v>
      </c>
      <c r="M5" s="68" t="s">
        <v>36</v>
      </c>
    </row>
    <row r="6" spans="2:41" ht="23.5" customHeight="1" x14ac:dyDescent="0.15">
      <c r="B6" s="401" t="s">
        <v>40</v>
      </c>
      <c r="C6" s="69" t="s">
        <v>41</v>
      </c>
      <c r="D6" s="70">
        <v>5</v>
      </c>
      <c r="E6" s="71" t="s">
        <v>42</v>
      </c>
      <c r="F6" s="71" t="s">
        <v>36</v>
      </c>
      <c r="G6" s="72">
        <v>12</v>
      </c>
      <c r="H6" s="73" t="str">
        <f t="shared" si="0"/>
        <v>€ pro Pumpen</v>
      </c>
      <c r="I6" s="74">
        <f>D6*G6</f>
        <v>60</v>
      </c>
      <c r="J6" s="71" t="s">
        <v>43</v>
      </c>
      <c r="K6" s="71" t="s">
        <v>44</v>
      </c>
      <c r="L6" s="71" t="s">
        <v>45</v>
      </c>
      <c r="M6" s="75" t="s">
        <v>36</v>
      </c>
    </row>
    <row r="7" spans="2:41" ht="23" customHeight="1" x14ac:dyDescent="0.15">
      <c r="B7" s="402"/>
      <c r="C7" s="76" t="s">
        <v>46</v>
      </c>
      <c r="D7" s="77">
        <v>100</v>
      </c>
      <c r="E7" s="78" t="s">
        <v>47</v>
      </c>
      <c r="F7" s="78" t="s">
        <v>36</v>
      </c>
      <c r="G7" s="79">
        <v>50</v>
      </c>
      <c r="H7" s="80" t="str">
        <f t="shared" si="0"/>
        <v>€ pro h</v>
      </c>
      <c r="I7" s="81">
        <f>D7*G7</f>
        <v>5000</v>
      </c>
      <c r="J7" s="78" t="s">
        <v>43</v>
      </c>
      <c r="K7" s="78" t="s">
        <v>44</v>
      </c>
      <c r="L7" s="78" t="s">
        <v>45</v>
      </c>
      <c r="M7" s="82" t="s">
        <v>36</v>
      </c>
    </row>
    <row r="8" spans="2:41" ht="23" customHeight="1" x14ac:dyDescent="0.15">
      <c r="B8" s="403"/>
      <c r="C8" s="76" t="s">
        <v>48</v>
      </c>
      <c r="D8" s="77">
        <v>15</v>
      </c>
      <c r="E8" s="78" t="s">
        <v>47</v>
      </c>
      <c r="F8" s="78" t="s">
        <v>36</v>
      </c>
      <c r="G8" s="79">
        <v>200</v>
      </c>
      <c r="H8" s="80" t="str">
        <f t="shared" si="0"/>
        <v>€ pro h</v>
      </c>
      <c r="I8" s="81">
        <f>D8*G8</f>
        <v>3000</v>
      </c>
      <c r="J8" s="78" t="s">
        <v>43</v>
      </c>
      <c r="K8" s="78" t="s">
        <v>44</v>
      </c>
      <c r="L8" s="78" t="s">
        <v>45</v>
      </c>
      <c r="M8" s="82" t="s">
        <v>36</v>
      </c>
    </row>
    <row r="9" spans="2:41" ht="23" customHeight="1" x14ac:dyDescent="0.15">
      <c r="B9" s="404" t="s">
        <v>49</v>
      </c>
      <c r="C9" s="76" t="s">
        <v>50</v>
      </c>
      <c r="D9" s="77">
        <v>150000</v>
      </c>
      <c r="E9" s="78" t="s">
        <v>51</v>
      </c>
      <c r="F9" s="78" t="s">
        <v>36</v>
      </c>
      <c r="G9" s="79">
        <v>0.18</v>
      </c>
      <c r="H9" s="80" t="str">
        <f t="shared" si="0"/>
        <v>€ pro kWh/a</v>
      </c>
      <c r="I9" s="81">
        <f>D9*G9</f>
        <v>27000</v>
      </c>
      <c r="J9" s="78" t="s">
        <v>52</v>
      </c>
      <c r="K9" s="78" t="s">
        <v>53</v>
      </c>
      <c r="L9" s="78" t="s">
        <v>54</v>
      </c>
      <c r="M9" s="82" t="s">
        <v>36</v>
      </c>
    </row>
    <row r="10" spans="2:41" ht="23" customHeight="1" x14ac:dyDescent="0.15">
      <c r="B10" s="402"/>
      <c r="C10" s="76" t="s">
        <v>55</v>
      </c>
      <c r="D10" s="77">
        <v>5</v>
      </c>
      <c r="E10" s="78" t="s">
        <v>56</v>
      </c>
      <c r="F10" s="78" t="s">
        <v>36</v>
      </c>
      <c r="G10" s="79">
        <v>50</v>
      </c>
      <c r="H10" s="80" t="str">
        <f t="shared" si="0"/>
        <v>€ pro h/a</v>
      </c>
      <c r="I10" s="81">
        <f>D10*G10</f>
        <v>250</v>
      </c>
      <c r="J10" s="78" t="s">
        <v>57</v>
      </c>
      <c r="K10" s="78" t="s">
        <v>58</v>
      </c>
      <c r="L10" s="78" t="s">
        <v>45</v>
      </c>
      <c r="M10" s="82" t="s">
        <v>36</v>
      </c>
    </row>
    <row r="11" spans="2:41" ht="23" customHeight="1" x14ac:dyDescent="0.15">
      <c r="B11" s="402"/>
      <c r="C11" s="76" t="s">
        <v>59</v>
      </c>
      <c r="D11" s="77">
        <v>-25</v>
      </c>
      <c r="E11" s="78" t="s">
        <v>60</v>
      </c>
      <c r="F11" s="78" t="s">
        <v>61</v>
      </c>
      <c r="G11" s="83" t="s">
        <v>38</v>
      </c>
      <c r="H11" s="80" t="str">
        <f t="shared" si="0"/>
        <v>€ pro dB</v>
      </c>
      <c r="I11" s="81"/>
      <c r="J11" s="78" t="s">
        <v>52</v>
      </c>
      <c r="K11" s="78" t="s">
        <v>44</v>
      </c>
      <c r="L11" s="78" t="s">
        <v>45</v>
      </c>
      <c r="M11" s="82" t="s">
        <v>36</v>
      </c>
    </row>
    <row r="12" spans="2:41" ht="23" customHeight="1" x14ac:dyDescent="0.15">
      <c r="B12" s="402"/>
      <c r="C12" s="76" t="s">
        <v>62</v>
      </c>
      <c r="D12" s="77">
        <v>5</v>
      </c>
      <c r="E12" s="78" t="s">
        <v>42</v>
      </c>
      <c r="F12" s="78" t="s">
        <v>36</v>
      </c>
      <c r="G12" s="79">
        <v>300</v>
      </c>
      <c r="H12" s="80" t="str">
        <f t="shared" si="0"/>
        <v>€ pro Pumpen</v>
      </c>
      <c r="I12" s="81">
        <f>D12*G12</f>
        <v>1500</v>
      </c>
      <c r="J12" s="78" t="s">
        <v>43</v>
      </c>
      <c r="K12" s="78" t="s">
        <v>44</v>
      </c>
      <c r="L12" s="78" t="s">
        <v>45</v>
      </c>
      <c r="M12" s="82" t="s">
        <v>36</v>
      </c>
    </row>
    <row r="13" spans="2:41" ht="23.5" customHeight="1" x14ac:dyDescent="0.15">
      <c r="B13" s="405"/>
      <c r="C13" s="84" t="s">
        <v>63</v>
      </c>
      <c r="D13" s="85">
        <v>10</v>
      </c>
      <c r="E13" s="86" t="s">
        <v>64</v>
      </c>
      <c r="F13" s="86" t="s">
        <v>61</v>
      </c>
      <c r="G13" s="87" t="s">
        <v>38</v>
      </c>
      <c r="H13" s="88" t="str">
        <f t="shared" si="0"/>
        <v>€ pro m2</v>
      </c>
      <c r="I13" s="89"/>
      <c r="J13" s="86" t="s">
        <v>52</v>
      </c>
      <c r="K13" s="86" t="s">
        <v>44</v>
      </c>
      <c r="L13" s="86" t="s">
        <v>45</v>
      </c>
      <c r="M13" s="90" t="s">
        <v>36</v>
      </c>
    </row>
    <row r="15" spans="2:41" ht="24.5" customHeight="1" x14ac:dyDescent="0.15">
      <c r="N15" s="92" t="s">
        <v>65</v>
      </c>
      <c r="O15" s="93"/>
      <c r="P15" s="94"/>
      <c r="Q15" s="94"/>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row>
    <row r="16" spans="2:41" ht="21" customHeight="1" x14ac:dyDescent="0.15">
      <c r="N16" s="96" t="s">
        <v>66</v>
      </c>
      <c r="O16" s="97" t="s">
        <v>67</v>
      </c>
      <c r="P16" s="98" t="s">
        <v>68</v>
      </c>
      <c r="Q16" s="99" t="s">
        <v>69</v>
      </c>
      <c r="R16" s="100"/>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row>
    <row r="17" spans="14:41" ht="20.5" customHeight="1" x14ac:dyDescent="0.15">
      <c r="N17" s="102" t="s">
        <v>70</v>
      </c>
      <c r="O17" s="412">
        <v>0.8</v>
      </c>
      <c r="P17" s="413"/>
      <c r="Q17" s="414"/>
      <c r="R17" s="100"/>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row>
    <row r="18" spans="14:41" ht="20.5" customHeight="1" x14ac:dyDescent="0.15">
      <c r="N18" s="102" t="s">
        <v>71</v>
      </c>
      <c r="O18" s="415">
        <f>100%-O17</f>
        <v>0.19999999999999996</v>
      </c>
      <c r="P18" s="413"/>
      <c r="Q18" s="414"/>
      <c r="R18" s="100"/>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row>
    <row r="19" spans="14:41" ht="20.5" customHeight="1" x14ac:dyDescent="0.15">
      <c r="N19" s="102" t="s">
        <v>72</v>
      </c>
      <c r="O19" s="103">
        <v>7.1999999999999995E-2</v>
      </c>
      <c r="P19" s="104">
        <v>8.5000000000000006E-2</v>
      </c>
      <c r="Q19" s="105">
        <v>5.5E-2</v>
      </c>
      <c r="R19" s="100"/>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row>
    <row r="20" spans="14:41" ht="21" customHeight="1" x14ac:dyDescent="0.15">
      <c r="N20" s="106" t="s">
        <v>73</v>
      </c>
      <c r="O20" s="107">
        <v>0.06</v>
      </c>
      <c r="P20" s="108">
        <v>0.11</v>
      </c>
      <c r="Q20" s="109">
        <v>0.03</v>
      </c>
      <c r="R20" s="100"/>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row>
    <row r="21" spans="14:41" ht="40.5" customHeight="1" x14ac:dyDescent="0.15">
      <c r="N21" s="110" t="s">
        <v>74</v>
      </c>
      <c r="O21" s="111">
        <f>O19*O17+O20*O18</f>
        <v>6.9599999999999995E-2</v>
      </c>
      <c r="P21" s="112">
        <f>P19*O17+P20*O18</f>
        <v>0.09</v>
      </c>
      <c r="Q21" s="113">
        <f>Q19*O17+Q20*O18</f>
        <v>0.05</v>
      </c>
      <c r="R21" s="100"/>
      <c r="S21" s="101"/>
      <c r="T21" s="101"/>
      <c r="U21" s="410"/>
      <c r="V21" s="409"/>
      <c r="W21" s="114"/>
      <c r="X21" s="114"/>
      <c r="Y21" s="114"/>
      <c r="Z21" s="114"/>
      <c r="AA21" s="114"/>
      <c r="AB21" s="114"/>
      <c r="AC21" s="114"/>
      <c r="AD21" s="114"/>
      <c r="AE21" s="101"/>
      <c r="AF21" s="101"/>
      <c r="AG21" s="101"/>
      <c r="AH21" s="101"/>
      <c r="AI21" s="101"/>
      <c r="AJ21" s="101"/>
      <c r="AK21" s="101"/>
      <c r="AL21" s="101"/>
      <c r="AM21" s="101"/>
      <c r="AN21" s="101"/>
      <c r="AO21" s="101"/>
    </row>
    <row r="22" spans="14:41" ht="25.5" customHeight="1" x14ac:dyDescent="0.15">
      <c r="N22" s="115" t="s">
        <v>75</v>
      </c>
      <c r="O22" s="116"/>
      <c r="P22" s="117"/>
      <c r="Q22" s="117"/>
      <c r="R22" s="95"/>
      <c r="S22" s="95"/>
      <c r="T22" s="95"/>
      <c r="U22" s="410"/>
      <c r="V22" s="114"/>
      <c r="W22" s="114"/>
      <c r="X22" s="114"/>
      <c r="Y22" s="114"/>
      <c r="Z22" s="114"/>
      <c r="AA22" s="114"/>
      <c r="AB22" s="114"/>
      <c r="AC22" s="114"/>
      <c r="AD22" s="114"/>
      <c r="AE22" s="95"/>
      <c r="AF22" s="95"/>
      <c r="AG22" s="95"/>
      <c r="AH22" s="95"/>
      <c r="AI22" s="95"/>
      <c r="AJ22" s="95"/>
      <c r="AK22" s="95"/>
      <c r="AL22" s="95"/>
      <c r="AM22" s="95"/>
      <c r="AN22" s="95"/>
      <c r="AO22" s="95"/>
    </row>
    <row r="23" spans="14:41" ht="41.5" customHeight="1" x14ac:dyDescent="0.15">
      <c r="N23" s="118" t="s">
        <v>76</v>
      </c>
      <c r="O23" s="119" t="s">
        <v>77</v>
      </c>
      <c r="P23" s="120" t="s">
        <v>78</v>
      </c>
      <c r="Q23" s="121" t="s">
        <v>79</v>
      </c>
      <c r="R23" s="122"/>
      <c r="S23" s="95"/>
      <c r="T23" s="95"/>
      <c r="U23" s="409"/>
      <c r="V23" s="114"/>
      <c r="W23" s="114"/>
      <c r="X23" s="114"/>
      <c r="Y23" s="114"/>
      <c r="Z23" s="114"/>
      <c r="AA23" s="114"/>
      <c r="AB23" s="114"/>
      <c r="AC23" s="114"/>
      <c r="AD23" s="114"/>
      <c r="AE23" s="95"/>
      <c r="AF23" s="95"/>
      <c r="AG23" s="95"/>
      <c r="AH23" s="95"/>
      <c r="AI23" s="95"/>
      <c r="AJ23" s="95"/>
      <c r="AK23" s="95"/>
      <c r="AL23" s="95"/>
      <c r="AM23" s="95"/>
      <c r="AN23" s="95"/>
      <c r="AO23" s="95"/>
    </row>
    <row r="24" spans="14:41" ht="25" customHeight="1" x14ac:dyDescent="0.15">
      <c r="N24" s="123" t="s">
        <v>80</v>
      </c>
      <c r="O24" s="124">
        <v>60000</v>
      </c>
      <c r="P24" s="125">
        <v>85000</v>
      </c>
      <c r="Q24" s="126">
        <v>50000</v>
      </c>
      <c r="R24" s="122"/>
      <c r="S24" s="95"/>
      <c r="T24" s="95"/>
      <c r="U24" s="409"/>
      <c r="V24" s="114"/>
      <c r="W24" s="114"/>
      <c r="X24" s="114"/>
      <c r="Y24" s="114"/>
      <c r="Z24" s="114"/>
      <c r="AA24" s="114"/>
      <c r="AB24" s="114"/>
      <c r="AC24" s="114"/>
      <c r="AD24" s="114"/>
      <c r="AE24" s="95"/>
      <c r="AF24" s="95"/>
      <c r="AG24" s="95"/>
      <c r="AH24" s="95"/>
      <c r="AI24" s="95"/>
      <c r="AJ24" s="95"/>
      <c r="AK24" s="95"/>
      <c r="AL24" s="95"/>
      <c r="AM24" s="95"/>
      <c r="AN24" s="95"/>
      <c r="AO24" s="95"/>
    </row>
    <row r="25" spans="14:41" ht="40.25" customHeight="1" x14ac:dyDescent="0.15">
      <c r="N25" s="127" t="s">
        <v>81</v>
      </c>
      <c r="O25" s="128">
        <v>150000</v>
      </c>
      <c r="P25" s="129">
        <v>100000</v>
      </c>
      <c r="Q25" s="130">
        <v>175000</v>
      </c>
      <c r="R25" s="122"/>
      <c r="S25" s="95"/>
      <c r="T25" s="95"/>
      <c r="U25" s="410"/>
      <c r="V25" s="114"/>
      <c r="W25" s="114"/>
      <c r="X25" s="114"/>
      <c r="Y25" s="114"/>
      <c r="Z25" s="114"/>
      <c r="AA25" s="114"/>
      <c r="AB25" s="114"/>
      <c r="AC25" s="114"/>
      <c r="AD25" s="114"/>
      <c r="AE25" s="95"/>
      <c r="AF25" s="95"/>
      <c r="AG25" s="95"/>
      <c r="AH25" s="95"/>
      <c r="AI25" s="95"/>
      <c r="AJ25" s="95"/>
      <c r="AK25" s="95"/>
      <c r="AL25" s="95"/>
      <c r="AM25" s="95"/>
      <c r="AN25" s="95"/>
      <c r="AO25" s="95"/>
    </row>
    <row r="26" spans="14:41" ht="24.25" customHeight="1" x14ac:dyDescent="0.15">
      <c r="N26" s="127" t="s">
        <v>82</v>
      </c>
      <c r="O26" s="131">
        <v>0.03</v>
      </c>
      <c r="P26" s="132">
        <v>1.4999999999999999E-2</v>
      </c>
      <c r="Q26" s="133">
        <v>4.4999999999999998E-2</v>
      </c>
      <c r="R26" s="122"/>
      <c r="S26" s="95"/>
      <c r="T26" s="95"/>
      <c r="U26" s="409"/>
      <c r="V26" s="114"/>
      <c r="W26" s="114"/>
      <c r="X26" s="114"/>
      <c r="Y26" s="114"/>
      <c r="Z26" s="114"/>
      <c r="AA26" s="114"/>
      <c r="AB26" s="114"/>
      <c r="AC26" s="114"/>
      <c r="AD26" s="114"/>
      <c r="AE26" s="95"/>
      <c r="AF26" s="95"/>
      <c r="AG26" s="95"/>
      <c r="AH26" s="95"/>
      <c r="AI26" s="95"/>
      <c r="AJ26" s="95"/>
      <c r="AK26" s="95"/>
      <c r="AL26" s="95"/>
      <c r="AM26" s="95"/>
      <c r="AN26" s="95"/>
      <c r="AO26" s="95"/>
    </row>
    <row r="27" spans="14:41" ht="40.25" customHeight="1" x14ac:dyDescent="0.15">
      <c r="N27" s="127" t="s">
        <v>83</v>
      </c>
      <c r="O27" s="131">
        <v>0.02</v>
      </c>
      <c r="P27" s="132">
        <v>0.03</v>
      </c>
      <c r="Q27" s="133">
        <v>1.4999999999999999E-2</v>
      </c>
      <c r="R27" s="122"/>
      <c r="S27" s="95"/>
      <c r="T27" s="95"/>
      <c r="U27" s="409"/>
      <c r="V27" s="114"/>
      <c r="W27" s="114"/>
      <c r="X27" s="114"/>
      <c r="Y27" s="114"/>
      <c r="Z27" s="114"/>
      <c r="AA27" s="114"/>
      <c r="AB27" s="114"/>
      <c r="AC27" s="114"/>
      <c r="AD27" s="114"/>
      <c r="AE27" s="95"/>
      <c r="AF27" s="95"/>
      <c r="AG27" s="95"/>
      <c r="AH27" s="95"/>
      <c r="AI27" s="95"/>
      <c r="AJ27" s="95"/>
      <c r="AK27" s="95"/>
      <c r="AL27" s="95"/>
      <c r="AM27" s="95"/>
      <c r="AN27" s="95"/>
      <c r="AO27" s="95"/>
    </row>
    <row r="28" spans="14:41" ht="24.25" customHeight="1" x14ac:dyDescent="0.15">
      <c r="N28" s="127" t="s">
        <v>84</v>
      </c>
      <c r="O28" s="134">
        <v>15</v>
      </c>
      <c r="P28" s="135">
        <v>7.5</v>
      </c>
      <c r="Q28" s="136">
        <v>20</v>
      </c>
      <c r="R28" s="122"/>
      <c r="S28" s="95"/>
      <c r="T28" s="95"/>
      <c r="U28" s="409"/>
      <c r="V28" s="114"/>
      <c r="W28" s="114"/>
      <c r="X28" s="114"/>
      <c r="Y28" s="114"/>
      <c r="Z28" s="114"/>
      <c r="AA28" s="114"/>
      <c r="AB28" s="114"/>
      <c r="AC28" s="114"/>
      <c r="AD28" s="114"/>
      <c r="AE28" s="95"/>
      <c r="AF28" s="95"/>
      <c r="AG28" s="95"/>
      <c r="AH28" s="95"/>
      <c r="AI28" s="95"/>
      <c r="AJ28" s="95"/>
      <c r="AK28" s="95"/>
      <c r="AL28" s="95"/>
      <c r="AM28" s="95"/>
      <c r="AN28" s="95"/>
      <c r="AO28" s="95"/>
    </row>
    <row r="29" spans="14:41" ht="25" customHeight="1" x14ac:dyDescent="0.15">
      <c r="N29" s="137" t="s">
        <v>85</v>
      </c>
      <c r="O29" s="138">
        <v>6.9599999999999995E-2</v>
      </c>
      <c r="P29" s="139">
        <v>0.09</v>
      </c>
      <c r="Q29" s="140">
        <v>0.05</v>
      </c>
      <c r="R29" s="141"/>
      <c r="S29" s="142"/>
      <c r="T29" s="142"/>
      <c r="U29" s="411"/>
      <c r="V29" s="143"/>
      <c r="W29" s="143"/>
      <c r="X29" s="143"/>
      <c r="Y29" s="143"/>
      <c r="Z29" s="143"/>
      <c r="AA29" s="143"/>
      <c r="AB29" s="143"/>
      <c r="AC29" s="143"/>
      <c r="AD29" s="143"/>
      <c r="AE29" s="142"/>
      <c r="AF29" s="142"/>
      <c r="AG29" s="142"/>
      <c r="AH29" s="142"/>
      <c r="AI29" s="142"/>
      <c r="AJ29" s="142"/>
      <c r="AK29" s="142"/>
      <c r="AL29" s="142"/>
      <c r="AM29" s="142"/>
      <c r="AN29" s="142"/>
      <c r="AO29" s="142"/>
    </row>
    <row r="30" spans="14:41" ht="25.5" customHeight="1" x14ac:dyDescent="0.15">
      <c r="N30" s="144" t="s">
        <v>86</v>
      </c>
      <c r="O30" s="145">
        <f>P51</f>
        <v>239602.80288053022</v>
      </c>
      <c r="P30" s="146">
        <f>P71</f>
        <v>12747.140160319106</v>
      </c>
      <c r="Q30" s="147">
        <f>P91</f>
        <v>546499.75602584344</v>
      </c>
      <c r="R30" s="148"/>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row>
    <row r="31" spans="14:41" ht="24.5" customHeight="1" x14ac:dyDescent="0.15">
      <c r="N31" s="150"/>
      <c r="O31" s="151"/>
      <c r="P31" s="152"/>
      <c r="Q31" s="152"/>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row>
    <row r="32" spans="14:41" ht="24.5" customHeight="1" x14ac:dyDescent="0.15">
      <c r="N32" s="92" t="s">
        <v>87</v>
      </c>
      <c r="O32" s="93"/>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row>
    <row r="33" spans="14:41" ht="25.5" customHeight="1" x14ac:dyDescent="0.15">
      <c r="N33" s="153" t="s">
        <v>88</v>
      </c>
      <c r="O33" s="154"/>
      <c r="P33" s="155">
        <v>0</v>
      </c>
      <c r="Q33" s="155">
        <v>1</v>
      </c>
      <c r="R33" s="155">
        <v>2</v>
      </c>
      <c r="S33" s="155">
        <v>3</v>
      </c>
      <c r="T33" s="155">
        <v>4</v>
      </c>
      <c r="U33" s="155">
        <v>5</v>
      </c>
      <c r="V33" s="155">
        <v>6</v>
      </c>
      <c r="W33" s="155">
        <v>7</v>
      </c>
      <c r="X33" s="155">
        <v>8</v>
      </c>
      <c r="Y33" s="155">
        <v>9</v>
      </c>
      <c r="Z33" s="155">
        <v>10</v>
      </c>
      <c r="AA33" s="155">
        <v>11</v>
      </c>
      <c r="AB33" s="155">
        <v>12</v>
      </c>
      <c r="AC33" s="155">
        <v>13</v>
      </c>
      <c r="AD33" s="155">
        <v>14</v>
      </c>
      <c r="AE33" s="155">
        <v>15</v>
      </c>
      <c r="AF33" s="155">
        <v>16</v>
      </c>
      <c r="AG33" s="155">
        <v>17</v>
      </c>
      <c r="AH33" s="155">
        <v>18</v>
      </c>
      <c r="AI33" s="155">
        <v>19</v>
      </c>
      <c r="AJ33" s="155">
        <v>20</v>
      </c>
      <c r="AK33" s="155">
        <v>21</v>
      </c>
      <c r="AL33" s="155">
        <v>22</v>
      </c>
      <c r="AM33" s="155">
        <v>23</v>
      </c>
      <c r="AN33" s="155">
        <v>24</v>
      </c>
      <c r="AO33" s="156">
        <v>25</v>
      </c>
    </row>
    <row r="34" spans="14:41" ht="25.5" customHeight="1" x14ac:dyDescent="0.15">
      <c r="N34" s="157" t="s">
        <v>89</v>
      </c>
      <c r="O34" s="158">
        <f>O29</f>
        <v>6.9599999999999995E-2</v>
      </c>
      <c r="P34" s="159"/>
      <c r="Q34" s="160"/>
      <c r="R34" s="152"/>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61"/>
    </row>
    <row r="35" spans="14:41" ht="25.5" customHeight="1" x14ac:dyDescent="0.15">
      <c r="N35" s="162" t="s">
        <v>90</v>
      </c>
      <c r="O35" s="163">
        <f>O26</f>
        <v>0.03</v>
      </c>
      <c r="P35" s="164"/>
      <c r="Q35" s="165"/>
      <c r="R35" s="408"/>
      <c r="S35" s="409"/>
      <c r="T35" s="409"/>
      <c r="U35" s="409"/>
      <c r="V35" s="409"/>
      <c r="W35" s="409"/>
      <c r="X35" s="409"/>
      <c r="Y35" s="409"/>
      <c r="Z35" s="165"/>
      <c r="AA35" s="165"/>
      <c r="AB35" s="165"/>
      <c r="AC35" s="165"/>
      <c r="AD35" s="165"/>
      <c r="AE35" s="165"/>
      <c r="AF35" s="165"/>
      <c r="AG35" s="165"/>
      <c r="AH35" s="165"/>
      <c r="AI35" s="165"/>
      <c r="AJ35" s="165"/>
      <c r="AK35" s="165"/>
      <c r="AL35" s="165"/>
      <c r="AM35" s="165"/>
      <c r="AN35" s="165"/>
      <c r="AO35" s="166"/>
    </row>
    <row r="36" spans="14:41" ht="25.5" customHeight="1" x14ac:dyDescent="0.15">
      <c r="N36" s="162" t="s">
        <v>91</v>
      </c>
      <c r="O36" s="163">
        <f>O27</f>
        <v>0.02</v>
      </c>
      <c r="P36" s="164"/>
      <c r="Q36" s="165"/>
      <c r="R36" s="409"/>
      <c r="S36" s="409"/>
      <c r="T36" s="409"/>
      <c r="U36" s="409"/>
      <c r="V36" s="409"/>
      <c r="W36" s="409"/>
      <c r="X36" s="409"/>
      <c r="Y36" s="409"/>
      <c r="Z36" s="165"/>
      <c r="AA36" s="165"/>
      <c r="AB36" s="165"/>
      <c r="AC36" s="165"/>
      <c r="AD36" s="165"/>
      <c r="AE36" s="165"/>
      <c r="AF36" s="165"/>
      <c r="AG36" s="165"/>
      <c r="AH36" s="165"/>
      <c r="AI36" s="165"/>
      <c r="AJ36" s="165"/>
      <c r="AK36" s="165"/>
      <c r="AL36" s="165"/>
      <c r="AM36" s="165"/>
      <c r="AN36" s="165"/>
      <c r="AO36" s="166"/>
    </row>
    <row r="37" spans="14:41" ht="25.5" customHeight="1" x14ac:dyDescent="0.15">
      <c r="N37" s="162" t="s">
        <v>92</v>
      </c>
      <c r="O37" s="167">
        <v>0.18</v>
      </c>
      <c r="P37" s="164"/>
      <c r="Q37" s="165"/>
      <c r="R37" s="409"/>
      <c r="S37" s="409"/>
      <c r="T37" s="409"/>
      <c r="U37" s="409"/>
      <c r="V37" s="409"/>
      <c r="W37" s="409"/>
      <c r="X37" s="409"/>
      <c r="Y37" s="409"/>
      <c r="Z37" s="165"/>
      <c r="AA37" s="165"/>
      <c r="AB37" s="165"/>
      <c r="AC37" s="165"/>
      <c r="AD37" s="165"/>
      <c r="AE37" s="165"/>
      <c r="AF37" s="165"/>
      <c r="AG37" s="165"/>
      <c r="AH37" s="165"/>
      <c r="AI37" s="165"/>
      <c r="AJ37" s="165"/>
      <c r="AK37" s="165"/>
      <c r="AL37" s="165"/>
      <c r="AM37" s="165"/>
      <c r="AN37" s="165"/>
      <c r="AO37" s="166"/>
    </row>
    <row r="38" spans="14:41" ht="25.5" customHeight="1" x14ac:dyDescent="0.15">
      <c r="N38" s="162" t="s">
        <v>93</v>
      </c>
      <c r="O38" s="168">
        <f>O28</f>
        <v>15</v>
      </c>
      <c r="P38" s="164"/>
      <c r="Q38" s="165"/>
      <c r="R38" s="95"/>
      <c r="S38" s="95"/>
      <c r="T38" s="95"/>
      <c r="U38" s="95"/>
      <c r="V38" s="95"/>
      <c r="W38" s="95"/>
      <c r="X38" s="95"/>
      <c r="Y38" s="95"/>
      <c r="Z38" s="95"/>
      <c r="AA38" s="95"/>
      <c r="AB38" s="95"/>
      <c r="AC38" s="95"/>
      <c r="AD38" s="95"/>
      <c r="AE38" s="95"/>
      <c r="AF38" s="95"/>
      <c r="AG38" s="95"/>
      <c r="AH38" s="95"/>
      <c r="AI38" s="95"/>
      <c r="AJ38" s="95"/>
      <c r="AK38" s="95"/>
      <c r="AL38" s="95"/>
      <c r="AM38" s="95"/>
      <c r="AN38" s="95"/>
      <c r="AO38" s="169"/>
    </row>
    <row r="39" spans="14:41" ht="25.5" customHeight="1" x14ac:dyDescent="0.15">
      <c r="N39" s="170" t="s">
        <v>94</v>
      </c>
      <c r="O39" s="171"/>
      <c r="P39" s="172">
        <f>IF(O38&gt;=P33,1,0)</f>
        <v>1</v>
      </c>
      <c r="Q39" s="173">
        <f t="shared" ref="Q39:AO39" si="1">IF($O$38&gt;=Q33,1,0)</f>
        <v>1</v>
      </c>
      <c r="R39" s="173">
        <f t="shared" si="1"/>
        <v>1</v>
      </c>
      <c r="S39" s="173">
        <f t="shared" si="1"/>
        <v>1</v>
      </c>
      <c r="T39" s="173">
        <f t="shared" si="1"/>
        <v>1</v>
      </c>
      <c r="U39" s="173">
        <f t="shared" si="1"/>
        <v>1</v>
      </c>
      <c r="V39" s="173">
        <f t="shared" si="1"/>
        <v>1</v>
      </c>
      <c r="W39" s="173">
        <f t="shared" si="1"/>
        <v>1</v>
      </c>
      <c r="X39" s="173">
        <f t="shared" si="1"/>
        <v>1</v>
      </c>
      <c r="Y39" s="173">
        <f t="shared" si="1"/>
        <v>1</v>
      </c>
      <c r="Z39" s="173">
        <f t="shared" si="1"/>
        <v>1</v>
      </c>
      <c r="AA39" s="173">
        <f t="shared" si="1"/>
        <v>1</v>
      </c>
      <c r="AB39" s="173">
        <f t="shared" si="1"/>
        <v>1</v>
      </c>
      <c r="AC39" s="173">
        <f t="shared" si="1"/>
        <v>1</v>
      </c>
      <c r="AD39" s="173">
        <f t="shared" si="1"/>
        <v>1</v>
      </c>
      <c r="AE39" s="173">
        <f t="shared" si="1"/>
        <v>1</v>
      </c>
      <c r="AF39" s="173">
        <f t="shared" si="1"/>
        <v>0</v>
      </c>
      <c r="AG39" s="173">
        <f t="shared" si="1"/>
        <v>0</v>
      </c>
      <c r="AH39" s="173">
        <f t="shared" si="1"/>
        <v>0</v>
      </c>
      <c r="AI39" s="173">
        <f t="shared" si="1"/>
        <v>0</v>
      </c>
      <c r="AJ39" s="173">
        <f t="shared" si="1"/>
        <v>0</v>
      </c>
      <c r="AK39" s="173">
        <f t="shared" si="1"/>
        <v>0</v>
      </c>
      <c r="AL39" s="173">
        <f t="shared" si="1"/>
        <v>0</v>
      </c>
      <c r="AM39" s="173">
        <f t="shared" si="1"/>
        <v>0</v>
      </c>
      <c r="AN39" s="173">
        <f t="shared" si="1"/>
        <v>0</v>
      </c>
      <c r="AO39" s="174">
        <f t="shared" si="1"/>
        <v>0</v>
      </c>
    </row>
    <row r="40" spans="14:41" ht="25.5" customHeight="1" x14ac:dyDescent="0.15">
      <c r="N40" s="175" t="s">
        <v>95</v>
      </c>
      <c r="O40" s="176" t="s">
        <v>96</v>
      </c>
      <c r="P40" s="177"/>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9"/>
    </row>
    <row r="41" spans="14:41" ht="25.5" customHeight="1" x14ac:dyDescent="0.15">
      <c r="N41" s="180" t="s">
        <v>10</v>
      </c>
      <c r="O41" s="181">
        <f>O24</f>
        <v>60000</v>
      </c>
      <c r="P41" s="182">
        <f>-O41</f>
        <v>-60000</v>
      </c>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4"/>
    </row>
    <row r="42" spans="14:41" ht="25.5" customHeight="1" x14ac:dyDescent="0.15">
      <c r="N42" s="180" t="s">
        <v>97</v>
      </c>
      <c r="O42" s="181">
        <v>5000</v>
      </c>
      <c r="P42" s="182">
        <f>-O42</f>
        <v>-5000</v>
      </c>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4"/>
    </row>
    <row r="43" spans="14:41" ht="25.5" customHeight="1" x14ac:dyDescent="0.15">
      <c r="N43" s="185" t="s">
        <v>48</v>
      </c>
      <c r="O43" s="186">
        <v>3000</v>
      </c>
      <c r="P43" s="187">
        <f>-O43</f>
        <v>-3000</v>
      </c>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9"/>
    </row>
    <row r="44" spans="14:41" ht="25.5" customHeight="1" x14ac:dyDescent="0.15">
      <c r="N44" s="175" t="s">
        <v>98</v>
      </c>
      <c r="O44" s="176" t="s">
        <v>96</v>
      </c>
      <c r="P44" s="190"/>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2"/>
    </row>
    <row r="45" spans="14:41" ht="25.5" customHeight="1" x14ac:dyDescent="0.15">
      <c r="N45" s="180" t="s">
        <v>99</v>
      </c>
      <c r="O45" s="193">
        <f>O25</f>
        <v>150000</v>
      </c>
      <c r="P45" s="182"/>
      <c r="Q45" s="183">
        <f t="shared" ref="Q45:AO45" si="2">$O$45*$O$37*(1+$O$35)^Q33</f>
        <v>27810</v>
      </c>
      <c r="R45" s="183">
        <f t="shared" si="2"/>
        <v>28644.3</v>
      </c>
      <c r="S45" s="183">
        <f t="shared" si="2"/>
        <v>29503.629000000001</v>
      </c>
      <c r="T45" s="183">
        <f t="shared" si="2"/>
        <v>30388.737869999997</v>
      </c>
      <c r="U45" s="183">
        <f t="shared" si="2"/>
        <v>31300.400006099997</v>
      </c>
      <c r="V45" s="183">
        <f t="shared" si="2"/>
        <v>32239.412006282997</v>
      </c>
      <c r="W45" s="183">
        <f t="shared" si="2"/>
        <v>33206.594366471487</v>
      </c>
      <c r="X45" s="183">
        <f t="shared" si="2"/>
        <v>34202.792197465627</v>
      </c>
      <c r="Y45" s="183">
        <f t="shared" si="2"/>
        <v>35228.875963389597</v>
      </c>
      <c r="Z45" s="183">
        <f t="shared" si="2"/>
        <v>36285.742242291286</v>
      </c>
      <c r="AA45" s="183">
        <f t="shared" si="2"/>
        <v>37374.314509560027</v>
      </c>
      <c r="AB45" s="183">
        <f t="shared" si="2"/>
        <v>38495.543944846824</v>
      </c>
      <c r="AC45" s="183">
        <f t="shared" si="2"/>
        <v>39650.410263192229</v>
      </c>
      <c r="AD45" s="183">
        <f t="shared" si="2"/>
        <v>40839.922571087998</v>
      </c>
      <c r="AE45" s="183">
        <f t="shared" si="2"/>
        <v>42065.120248220643</v>
      </c>
      <c r="AF45" s="183">
        <f t="shared" si="2"/>
        <v>43327.073855667251</v>
      </c>
      <c r="AG45" s="183">
        <f t="shared" si="2"/>
        <v>44626.886071337271</v>
      </c>
      <c r="AH45" s="183">
        <f t="shared" si="2"/>
        <v>45965.692653477388</v>
      </c>
      <c r="AI45" s="183">
        <f t="shared" si="2"/>
        <v>47344.663433081711</v>
      </c>
      <c r="AJ45" s="183">
        <f t="shared" si="2"/>
        <v>48765.003336074158</v>
      </c>
      <c r="AK45" s="183">
        <f t="shared" si="2"/>
        <v>50227.953436156378</v>
      </c>
      <c r="AL45" s="183">
        <f t="shared" si="2"/>
        <v>51734.792039241074</v>
      </c>
      <c r="AM45" s="183">
        <f t="shared" si="2"/>
        <v>53286.83580041831</v>
      </c>
      <c r="AN45" s="183">
        <f t="shared" si="2"/>
        <v>54885.440874430846</v>
      </c>
      <c r="AO45" s="184">
        <f t="shared" si="2"/>
        <v>56532.004100663777</v>
      </c>
    </row>
    <row r="46" spans="14:41" ht="25.5" customHeight="1" x14ac:dyDescent="0.15">
      <c r="N46" s="180" t="s">
        <v>100</v>
      </c>
      <c r="O46" s="194">
        <v>250</v>
      </c>
      <c r="P46" s="182"/>
      <c r="Q46" s="183">
        <f t="shared" ref="Q46:AO46" si="3">$O$46*(1+$O$36)^Q33</f>
        <v>255</v>
      </c>
      <c r="R46" s="183">
        <f t="shared" si="3"/>
        <v>260.10000000000002</v>
      </c>
      <c r="S46" s="183">
        <f t="shared" si="3"/>
        <v>265.30199999999996</v>
      </c>
      <c r="T46" s="183">
        <f t="shared" si="3"/>
        <v>270.60804000000002</v>
      </c>
      <c r="U46" s="183">
        <f t="shared" si="3"/>
        <v>276.0202008</v>
      </c>
      <c r="V46" s="183">
        <f t="shared" si="3"/>
        <v>281.54060481600004</v>
      </c>
      <c r="W46" s="183">
        <f t="shared" si="3"/>
        <v>287.17141691231996</v>
      </c>
      <c r="X46" s="183">
        <f t="shared" si="3"/>
        <v>292.91484525056637</v>
      </c>
      <c r="Y46" s="183">
        <f t="shared" si="3"/>
        <v>298.77314215557772</v>
      </c>
      <c r="Z46" s="183">
        <f t="shared" si="3"/>
        <v>304.7486049986893</v>
      </c>
      <c r="AA46" s="183">
        <f t="shared" si="3"/>
        <v>310.84357709866299</v>
      </c>
      <c r="AB46" s="183">
        <f t="shared" si="3"/>
        <v>317.06044864063631</v>
      </c>
      <c r="AC46" s="183">
        <f t="shared" si="3"/>
        <v>323.401657613449</v>
      </c>
      <c r="AD46" s="183">
        <f t="shared" si="3"/>
        <v>329.86969076571802</v>
      </c>
      <c r="AE46" s="183">
        <f t="shared" si="3"/>
        <v>336.46708458103228</v>
      </c>
      <c r="AF46" s="183">
        <f t="shared" si="3"/>
        <v>343.19642627265301</v>
      </c>
      <c r="AG46" s="183">
        <f t="shared" si="3"/>
        <v>350.06035479810612</v>
      </c>
      <c r="AH46" s="183">
        <f t="shared" si="3"/>
        <v>357.06156189406818</v>
      </c>
      <c r="AI46" s="183">
        <f t="shared" si="3"/>
        <v>364.20279313194953</v>
      </c>
      <c r="AJ46" s="183">
        <f t="shared" si="3"/>
        <v>371.48684899458857</v>
      </c>
      <c r="AK46" s="183">
        <f t="shared" si="3"/>
        <v>378.91658597448031</v>
      </c>
      <c r="AL46" s="183">
        <f t="shared" si="3"/>
        <v>386.49491769396991</v>
      </c>
      <c r="AM46" s="183">
        <f t="shared" si="3"/>
        <v>394.22481604784923</v>
      </c>
      <c r="AN46" s="183">
        <f t="shared" si="3"/>
        <v>402.10931236880629</v>
      </c>
      <c r="AO46" s="184">
        <f t="shared" si="3"/>
        <v>410.15149861618238</v>
      </c>
    </row>
    <row r="47" spans="14:41" ht="25.5" customHeight="1" x14ac:dyDescent="0.15">
      <c r="N47" s="185" t="s">
        <v>62</v>
      </c>
      <c r="O47" s="186">
        <v>1500</v>
      </c>
      <c r="P47" s="187">
        <f>O47</f>
        <v>1500</v>
      </c>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9"/>
    </row>
    <row r="48" spans="14:41" ht="25.5" customHeight="1" x14ac:dyDescent="0.15">
      <c r="N48" s="157" t="s">
        <v>101</v>
      </c>
      <c r="O48" s="195"/>
      <c r="P48" s="190">
        <f t="shared" ref="P48:AO48" si="4">(SUM(P41:P43)+SUM(P45:P47))*P39</f>
        <v>-66500</v>
      </c>
      <c r="Q48" s="191">
        <f t="shared" si="4"/>
        <v>28065</v>
      </c>
      <c r="R48" s="191">
        <f t="shared" si="4"/>
        <v>28904.399999999998</v>
      </c>
      <c r="S48" s="191">
        <f t="shared" si="4"/>
        <v>29768.931</v>
      </c>
      <c r="T48" s="191">
        <f t="shared" si="4"/>
        <v>30659.345909999996</v>
      </c>
      <c r="U48" s="191">
        <f t="shared" si="4"/>
        <v>31576.420206899998</v>
      </c>
      <c r="V48" s="191">
        <f t="shared" si="4"/>
        <v>32520.952611098997</v>
      </c>
      <c r="W48" s="191">
        <f t="shared" si="4"/>
        <v>33493.765783383809</v>
      </c>
      <c r="X48" s="191">
        <f t="shared" si="4"/>
        <v>34495.707042716196</v>
      </c>
      <c r="Y48" s="191">
        <f t="shared" si="4"/>
        <v>35527.649105545177</v>
      </c>
      <c r="Z48" s="191">
        <f t="shared" si="4"/>
        <v>36590.490847289977</v>
      </c>
      <c r="AA48" s="191">
        <f t="shared" si="4"/>
        <v>37685.158086658688</v>
      </c>
      <c r="AB48" s="191">
        <f t="shared" si="4"/>
        <v>38812.604393487461</v>
      </c>
      <c r="AC48" s="191">
        <f t="shared" si="4"/>
        <v>39973.811920805674</v>
      </c>
      <c r="AD48" s="191">
        <f t="shared" si="4"/>
        <v>41169.79226185372</v>
      </c>
      <c r="AE48" s="191">
        <f t="shared" si="4"/>
        <v>42401.587332801675</v>
      </c>
      <c r="AF48" s="191">
        <f t="shared" si="4"/>
        <v>0</v>
      </c>
      <c r="AG48" s="191">
        <f t="shared" si="4"/>
        <v>0</v>
      </c>
      <c r="AH48" s="191">
        <f t="shared" si="4"/>
        <v>0</v>
      </c>
      <c r="AI48" s="191">
        <f t="shared" si="4"/>
        <v>0</v>
      </c>
      <c r="AJ48" s="191">
        <f t="shared" si="4"/>
        <v>0</v>
      </c>
      <c r="AK48" s="191">
        <f t="shared" si="4"/>
        <v>0</v>
      </c>
      <c r="AL48" s="191">
        <f t="shared" si="4"/>
        <v>0</v>
      </c>
      <c r="AM48" s="191">
        <f t="shared" si="4"/>
        <v>0</v>
      </c>
      <c r="AN48" s="191">
        <f t="shared" si="4"/>
        <v>0</v>
      </c>
      <c r="AO48" s="192">
        <f t="shared" si="4"/>
        <v>0</v>
      </c>
    </row>
    <row r="49" spans="14:41" ht="25.5" customHeight="1" x14ac:dyDescent="0.15">
      <c r="N49" s="170" t="s">
        <v>102</v>
      </c>
      <c r="O49" s="196"/>
      <c r="P49" s="187">
        <f>(P48)/(1+$O$34)^P33</f>
        <v>-66500</v>
      </c>
      <c r="Q49" s="188">
        <f t="shared" ref="Q49:AO49" si="5">Q48/(1+$O$34)^Q33</f>
        <v>26238.7808526552</v>
      </c>
      <c r="R49" s="188">
        <f t="shared" si="5"/>
        <v>25265.108647554309</v>
      </c>
      <c r="S49" s="188">
        <f t="shared" si="5"/>
        <v>24327.588251068762</v>
      </c>
      <c r="T49" s="188">
        <f t="shared" si="5"/>
        <v>23424.876414939165</v>
      </c>
      <c r="U49" s="188">
        <f t="shared" si="5"/>
        <v>22555.679844505281</v>
      </c>
      <c r="V49" s="188">
        <f t="shared" si="5"/>
        <v>21718.753338957431</v>
      </c>
      <c r="W49" s="188">
        <f t="shared" si="5"/>
        <v>20912.898000919766</v>
      </c>
      <c r="X49" s="188">
        <f t="shared" si="5"/>
        <v>20136.959512776215</v>
      </c>
      <c r="Y49" s="188">
        <f t="shared" si="5"/>
        <v>19389.826477247039</v>
      </c>
      <c r="Z49" s="188">
        <f t="shared" si="5"/>
        <v>18670.428819817011</v>
      </c>
      <c r="AA49" s="188">
        <f t="shared" si="5"/>
        <v>17977.736250706112</v>
      </c>
      <c r="AB49" s="188">
        <f t="shared" si="5"/>
        <v>17310.756784159912</v>
      </c>
      <c r="AC49" s="188">
        <f t="shared" si="5"/>
        <v>16668.535312920008</v>
      </c>
      <c r="AD49" s="188">
        <f t="shared" si="5"/>
        <v>16050.152235814965</v>
      </c>
      <c r="AE49" s="188">
        <f t="shared" si="5"/>
        <v>15454.722136489023</v>
      </c>
      <c r="AF49" s="188">
        <f t="shared" si="5"/>
        <v>0</v>
      </c>
      <c r="AG49" s="188">
        <f t="shared" si="5"/>
        <v>0</v>
      </c>
      <c r="AH49" s="188">
        <f t="shared" si="5"/>
        <v>0</v>
      </c>
      <c r="AI49" s="188">
        <f t="shared" si="5"/>
        <v>0</v>
      </c>
      <c r="AJ49" s="188">
        <f t="shared" si="5"/>
        <v>0</v>
      </c>
      <c r="AK49" s="188">
        <f t="shared" si="5"/>
        <v>0</v>
      </c>
      <c r="AL49" s="188">
        <f t="shared" si="5"/>
        <v>0</v>
      </c>
      <c r="AM49" s="188">
        <f t="shared" si="5"/>
        <v>0</v>
      </c>
      <c r="AN49" s="188">
        <f t="shared" si="5"/>
        <v>0</v>
      </c>
      <c r="AO49" s="189">
        <f t="shared" si="5"/>
        <v>0</v>
      </c>
    </row>
    <row r="50" spans="14:41" ht="41.5" customHeight="1" x14ac:dyDescent="0.15">
      <c r="N50" s="197" t="s">
        <v>103</v>
      </c>
      <c r="O50" s="198"/>
      <c r="P50" s="199">
        <f>SUM(P49)</f>
        <v>-66500</v>
      </c>
      <c r="Q50" s="199">
        <f>SUM($P$49:Q49)</f>
        <v>-40261.219147344804</v>
      </c>
      <c r="R50" s="199">
        <f>SUM($P$49:R49)</f>
        <v>-14996.110499790495</v>
      </c>
      <c r="S50" s="199">
        <f>SUM($P$49:S49)</f>
        <v>9331.4777512782675</v>
      </c>
      <c r="T50" s="199">
        <f>SUM($P$49:T49)</f>
        <v>32756.354166217432</v>
      </c>
      <c r="U50" s="199">
        <f>SUM($P$49:U49)</f>
        <v>55312.034010722709</v>
      </c>
      <c r="V50" s="199">
        <f>SUM($P$49:V49)</f>
        <v>77030.787349680148</v>
      </c>
      <c r="W50" s="199">
        <f>SUM($P$49:W49)</f>
        <v>97943.685350599917</v>
      </c>
      <c r="X50" s="199">
        <f>SUM($P$49:X49)</f>
        <v>118080.64486337613</v>
      </c>
      <c r="Y50" s="199">
        <f>SUM($P$49:Y49)</f>
        <v>137470.47134062316</v>
      </c>
      <c r="Z50" s="199">
        <f>SUM($P$49:Z49)</f>
        <v>156140.90016044019</v>
      </c>
      <c r="AA50" s="199">
        <f>SUM($P$49:AA49)</f>
        <v>174118.63641114629</v>
      </c>
      <c r="AB50" s="199">
        <f>SUM($P$49:AB49)</f>
        <v>191429.39319530621</v>
      </c>
      <c r="AC50" s="199">
        <f>SUM($P$49:AC49)</f>
        <v>208097.92850822624</v>
      </c>
      <c r="AD50" s="199">
        <f>SUM($P$49:AD49)</f>
        <v>224148.08074404119</v>
      </c>
      <c r="AE50" s="199">
        <f>SUM($P$49:AE49)</f>
        <v>239602.80288053022</v>
      </c>
      <c r="AF50" s="199">
        <f>SUM($P$49:AF49)</f>
        <v>239602.80288053022</v>
      </c>
      <c r="AG50" s="199">
        <f>SUM($P$49:AG49)</f>
        <v>239602.80288053022</v>
      </c>
      <c r="AH50" s="199">
        <f>SUM($P$49:AH49)</f>
        <v>239602.80288053022</v>
      </c>
      <c r="AI50" s="199">
        <f>SUM($P$49:AI49)</f>
        <v>239602.80288053022</v>
      </c>
      <c r="AJ50" s="199">
        <f>SUM($P$49:AJ49)</f>
        <v>239602.80288053022</v>
      </c>
      <c r="AK50" s="199">
        <f>SUM($P$49:AK49)</f>
        <v>239602.80288053022</v>
      </c>
      <c r="AL50" s="199">
        <f>SUM($P$49:AL49)</f>
        <v>239602.80288053022</v>
      </c>
      <c r="AM50" s="199">
        <f>SUM($P$49:AM49)</f>
        <v>239602.80288053022</v>
      </c>
      <c r="AN50" s="199">
        <f>SUM($P$49:AN49)</f>
        <v>239602.80288053022</v>
      </c>
      <c r="AO50" s="200">
        <f>SUM($P$49:AO49)</f>
        <v>239602.80288053022</v>
      </c>
    </row>
    <row r="51" spans="14:41" ht="25.5" customHeight="1" x14ac:dyDescent="0.15">
      <c r="N51" s="197" t="s">
        <v>104</v>
      </c>
      <c r="O51" s="201"/>
      <c r="P51" s="202">
        <f>SUM(P49:AO49)</f>
        <v>239602.80288053022</v>
      </c>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4"/>
    </row>
    <row r="52" spans="14:41" ht="24.5" customHeight="1" x14ac:dyDescent="0.15">
      <c r="N52" s="150"/>
      <c r="O52" s="205"/>
      <c r="P52" s="206"/>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row>
    <row r="53" spans="14:41" ht="24.5" customHeight="1" x14ac:dyDescent="0.15">
      <c r="N53" s="92" t="s">
        <v>105</v>
      </c>
      <c r="O53" s="208"/>
      <c r="P53" s="209"/>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c r="AN53" s="210"/>
      <c r="AO53" s="210"/>
    </row>
    <row r="54" spans="14:41" ht="25.5" customHeight="1" x14ac:dyDescent="0.15">
      <c r="N54" s="153" t="s">
        <v>88</v>
      </c>
      <c r="O54" s="154"/>
      <c r="P54" s="155">
        <v>0</v>
      </c>
      <c r="Q54" s="155">
        <v>1</v>
      </c>
      <c r="R54" s="155">
        <v>2</v>
      </c>
      <c r="S54" s="155">
        <v>3</v>
      </c>
      <c r="T54" s="155">
        <v>4</v>
      </c>
      <c r="U54" s="155">
        <v>5</v>
      </c>
      <c r="V54" s="155">
        <v>6</v>
      </c>
      <c r="W54" s="155">
        <v>7</v>
      </c>
      <c r="X54" s="155">
        <v>8</v>
      </c>
      <c r="Y54" s="155">
        <v>9</v>
      </c>
      <c r="Z54" s="155">
        <v>10</v>
      </c>
      <c r="AA54" s="155">
        <v>11</v>
      </c>
      <c r="AB54" s="155">
        <v>12</v>
      </c>
      <c r="AC54" s="155">
        <v>13</v>
      </c>
      <c r="AD54" s="155">
        <v>14</v>
      </c>
      <c r="AE54" s="155">
        <v>15</v>
      </c>
      <c r="AF54" s="155">
        <v>16</v>
      </c>
      <c r="AG54" s="155">
        <v>17</v>
      </c>
      <c r="AH54" s="155">
        <v>18</v>
      </c>
      <c r="AI54" s="155">
        <v>19</v>
      </c>
      <c r="AJ54" s="155">
        <v>20</v>
      </c>
      <c r="AK54" s="155">
        <v>21</v>
      </c>
      <c r="AL54" s="155">
        <v>22</v>
      </c>
      <c r="AM54" s="155">
        <v>23</v>
      </c>
      <c r="AN54" s="155">
        <v>24</v>
      </c>
      <c r="AO54" s="156">
        <v>25</v>
      </c>
    </row>
    <row r="55" spans="14:41" ht="25.5" customHeight="1" x14ac:dyDescent="0.15">
      <c r="N55" s="157" t="s">
        <v>89</v>
      </c>
      <c r="O55" s="158">
        <f>P29</f>
        <v>0.09</v>
      </c>
      <c r="P55" s="159"/>
      <c r="Q55" s="160"/>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61"/>
    </row>
    <row r="56" spans="14:41" ht="25.5" customHeight="1" x14ac:dyDescent="0.15">
      <c r="N56" s="162" t="s">
        <v>90</v>
      </c>
      <c r="O56" s="163">
        <f>P26</f>
        <v>1.4999999999999999E-2</v>
      </c>
      <c r="P56" s="164"/>
      <c r="Q56" s="165"/>
      <c r="R56" s="408"/>
      <c r="S56" s="409"/>
      <c r="T56" s="409"/>
      <c r="U56" s="409"/>
      <c r="V56" s="409"/>
      <c r="W56" s="409"/>
      <c r="X56" s="409"/>
      <c r="Y56" s="409"/>
      <c r="Z56" s="165"/>
      <c r="AA56" s="165"/>
      <c r="AB56" s="165"/>
      <c r="AC56" s="165"/>
      <c r="AD56" s="165"/>
      <c r="AE56" s="165"/>
      <c r="AF56" s="165"/>
      <c r="AG56" s="165"/>
      <c r="AH56" s="165"/>
      <c r="AI56" s="165"/>
      <c r="AJ56" s="165"/>
      <c r="AK56" s="165"/>
      <c r="AL56" s="165"/>
      <c r="AM56" s="165"/>
      <c r="AN56" s="165"/>
      <c r="AO56" s="166"/>
    </row>
    <row r="57" spans="14:41" ht="25.5" customHeight="1" x14ac:dyDescent="0.15">
      <c r="N57" s="162" t="s">
        <v>91</v>
      </c>
      <c r="O57" s="163">
        <f>P27</f>
        <v>0.03</v>
      </c>
      <c r="P57" s="164"/>
      <c r="Q57" s="165"/>
      <c r="R57" s="409"/>
      <c r="S57" s="409"/>
      <c r="T57" s="409"/>
      <c r="U57" s="409"/>
      <c r="V57" s="409"/>
      <c r="W57" s="409"/>
      <c r="X57" s="409"/>
      <c r="Y57" s="409"/>
      <c r="Z57" s="165"/>
      <c r="AA57" s="165"/>
      <c r="AB57" s="165"/>
      <c r="AC57" s="165"/>
      <c r="AD57" s="165"/>
      <c r="AE57" s="165"/>
      <c r="AF57" s="165"/>
      <c r="AG57" s="165"/>
      <c r="AH57" s="165"/>
      <c r="AI57" s="165"/>
      <c r="AJ57" s="165"/>
      <c r="AK57" s="165"/>
      <c r="AL57" s="165"/>
      <c r="AM57" s="165"/>
      <c r="AN57" s="165"/>
      <c r="AO57" s="166"/>
    </row>
    <row r="58" spans="14:41" ht="25.5" customHeight="1" x14ac:dyDescent="0.15">
      <c r="N58" s="162" t="s">
        <v>92</v>
      </c>
      <c r="O58" s="167">
        <v>0.18</v>
      </c>
      <c r="P58" s="164"/>
      <c r="Q58" s="165"/>
      <c r="R58" s="409"/>
      <c r="S58" s="409"/>
      <c r="T58" s="409"/>
      <c r="U58" s="409"/>
      <c r="V58" s="409"/>
      <c r="W58" s="409"/>
      <c r="X58" s="409"/>
      <c r="Y58" s="409"/>
      <c r="Z58" s="165"/>
      <c r="AA58" s="165"/>
      <c r="AB58" s="165"/>
      <c r="AC58" s="165"/>
      <c r="AD58" s="165"/>
      <c r="AE58" s="165"/>
      <c r="AF58" s="165"/>
      <c r="AG58" s="165"/>
      <c r="AH58" s="165"/>
      <c r="AI58" s="165"/>
      <c r="AJ58" s="165"/>
      <c r="AK58" s="165"/>
      <c r="AL58" s="165"/>
      <c r="AM58" s="165"/>
      <c r="AN58" s="165"/>
      <c r="AO58" s="166"/>
    </row>
    <row r="59" spans="14:41" ht="25.5" customHeight="1" x14ac:dyDescent="0.15">
      <c r="N59" s="162" t="s">
        <v>93</v>
      </c>
      <c r="O59" s="211">
        <f>P28</f>
        <v>7.5</v>
      </c>
      <c r="P59" s="164"/>
      <c r="Q59" s="165"/>
      <c r="R59" s="95"/>
      <c r="S59" s="95"/>
      <c r="T59" s="95"/>
      <c r="U59" s="95"/>
      <c r="V59" s="95"/>
      <c r="W59" s="95"/>
      <c r="X59" s="95"/>
      <c r="Y59" s="95"/>
      <c r="Z59" s="95"/>
      <c r="AA59" s="95"/>
      <c r="AB59" s="95"/>
      <c r="AC59" s="95"/>
      <c r="AD59" s="95"/>
      <c r="AE59" s="95"/>
      <c r="AF59" s="95"/>
      <c r="AG59" s="95"/>
      <c r="AH59" s="95"/>
      <c r="AI59" s="95"/>
      <c r="AJ59" s="95"/>
      <c r="AK59" s="95"/>
      <c r="AL59" s="95"/>
      <c r="AM59" s="95"/>
      <c r="AN59" s="95"/>
      <c r="AO59" s="169"/>
    </row>
    <row r="60" spans="14:41" ht="25.5" customHeight="1" x14ac:dyDescent="0.15">
      <c r="N60" s="170" t="s">
        <v>94</v>
      </c>
      <c r="O60" s="171"/>
      <c r="P60" s="172">
        <f t="shared" ref="P60:AO60" si="6">IF($O59&gt;=P54,1,0)</f>
        <v>1</v>
      </c>
      <c r="Q60" s="173">
        <f t="shared" si="6"/>
        <v>1</v>
      </c>
      <c r="R60" s="173">
        <f t="shared" si="6"/>
        <v>1</v>
      </c>
      <c r="S60" s="173">
        <f t="shared" si="6"/>
        <v>1</v>
      </c>
      <c r="T60" s="173">
        <f t="shared" si="6"/>
        <v>1</v>
      </c>
      <c r="U60" s="173">
        <f t="shared" si="6"/>
        <v>1</v>
      </c>
      <c r="V60" s="173">
        <f t="shared" si="6"/>
        <v>1</v>
      </c>
      <c r="W60" s="173">
        <f t="shared" si="6"/>
        <v>1</v>
      </c>
      <c r="X60" s="173">
        <f t="shared" si="6"/>
        <v>0</v>
      </c>
      <c r="Y60" s="173">
        <f t="shared" si="6"/>
        <v>0</v>
      </c>
      <c r="Z60" s="173">
        <f t="shared" si="6"/>
        <v>0</v>
      </c>
      <c r="AA60" s="173">
        <f t="shared" si="6"/>
        <v>0</v>
      </c>
      <c r="AB60" s="173">
        <f t="shared" si="6"/>
        <v>0</v>
      </c>
      <c r="AC60" s="173">
        <f t="shared" si="6"/>
        <v>0</v>
      </c>
      <c r="AD60" s="173">
        <f t="shared" si="6"/>
        <v>0</v>
      </c>
      <c r="AE60" s="173">
        <f t="shared" si="6"/>
        <v>0</v>
      </c>
      <c r="AF60" s="173">
        <f t="shared" si="6"/>
        <v>0</v>
      </c>
      <c r="AG60" s="173">
        <f t="shared" si="6"/>
        <v>0</v>
      </c>
      <c r="AH60" s="173">
        <f t="shared" si="6"/>
        <v>0</v>
      </c>
      <c r="AI60" s="173">
        <f t="shared" si="6"/>
        <v>0</v>
      </c>
      <c r="AJ60" s="173">
        <f t="shared" si="6"/>
        <v>0</v>
      </c>
      <c r="AK60" s="173">
        <f t="shared" si="6"/>
        <v>0</v>
      </c>
      <c r="AL60" s="173">
        <f t="shared" si="6"/>
        <v>0</v>
      </c>
      <c r="AM60" s="173">
        <f t="shared" si="6"/>
        <v>0</v>
      </c>
      <c r="AN60" s="173">
        <f t="shared" si="6"/>
        <v>0</v>
      </c>
      <c r="AO60" s="174">
        <f t="shared" si="6"/>
        <v>0</v>
      </c>
    </row>
    <row r="61" spans="14:41" ht="25.5" customHeight="1" x14ac:dyDescent="0.15">
      <c r="N61" s="175" t="s">
        <v>95</v>
      </c>
      <c r="O61" s="176" t="s">
        <v>96</v>
      </c>
      <c r="P61" s="177"/>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9"/>
    </row>
    <row r="62" spans="14:41" ht="25.5" customHeight="1" x14ac:dyDescent="0.15">
      <c r="N62" s="162" t="str">
        <f>$N41</f>
        <v>Investitionsauszahlung</v>
      </c>
      <c r="O62" s="212">
        <f>P24</f>
        <v>85000</v>
      </c>
      <c r="P62" s="182">
        <f>-O62</f>
        <v>-85000</v>
      </c>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4"/>
    </row>
    <row r="63" spans="14:41" ht="25.5" customHeight="1" x14ac:dyDescent="0.15">
      <c r="N63" s="162" t="str">
        <f>$N42</f>
        <v>Planungskosten</v>
      </c>
      <c r="O63" s="194">
        <f>O42</f>
        <v>5000</v>
      </c>
      <c r="P63" s="182">
        <f>-O63</f>
        <v>-5000</v>
      </c>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4"/>
    </row>
    <row r="64" spans="14:41" ht="25.5" customHeight="1" x14ac:dyDescent="0.15">
      <c r="N64" s="170" t="str">
        <f>$N43</f>
        <v>Produktionsausfälle bei der Inbetriebnahme</v>
      </c>
      <c r="O64" s="213">
        <f>O43</f>
        <v>3000</v>
      </c>
      <c r="P64" s="187">
        <f>-O64</f>
        <v>-3000</v>
      </c>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9"/>
    </row>
    <row r="65" spans="14:41" ht="25.5" customHeight="1" x14ac:dyDescent="0.15">
      <c r="N65" s="175" t="s">
        <v>98</v>
      </c>
      <c r="O65" s="176" t="s">
        <v>96</v>
      </c>
      <c r="P65" s="190"/>
      <c r="Q65" s="191"/>
      <c r="R65" s="191"/>
      <c r="S65" s="191"/>
      <c r="T65" s="191"/>
      <c r="U65" s="191"/>
      <c r="V65" s="191"/>
      <c r="W65" s="191"/>
      <c r="X65" s="191"/>
      <c r="Y65" s="191"/>
      <c r="Z65" s="191"/>
      <c r="AA65" s="191"/>
      <c r="AB65" s="191"/>
      <c r="AC65" s="191"/>
      <c r="AD65" s="191"/>
      <c r="AE65" s="191"/>
      <c r="AF65" s="191"/>
      <c r="AG65" s="191"/>
      <c r="AH65" s="191"/>
      <c r="AI65" s="191"/>
      <c r="AJ65" s="191"/>
      <c r="AK65" s="191"/>
      <c r="AL65" s="191"/>
      <c r="AM65" s="191"/>
      <c r="AN65" s="191"/>
      <c r="AO65" s="192"/>
    </row>
    <row r="66" spans="14:41" ht="25.5" customHeight="1" x14ac:dyDescent="0.15">
      <c r="N66" s="162" t="str">
        <f>$N45</f>
        <v>Energieeinsparungen jährlich</v>
      </c>
      <c r="O66" s="193">
        <f>P25</f>
        <v>100000</v>
      </c>
      <c r="P66" s="182"/>
      <c r="Q66" s="183">
        <f t="shared" ref="Q66:AO66" si="7">$O66*$O58*(1+$O56)^Q54</f>
        <v>18270</v>
      </c>
      <c r="R66" s="183">
        <f t="shared" si="7"/>
        <v>18544.049999999996</v>
      </c>
      <c r="S66" s="183">
        <f t="shared" si="7"/>
        <v>18822.210749999991</v>
      </c>
      <c r="T66" s="183">
        <f t="shared" si="7"/>
        <v>19104.543911249988</v>
      </c>
      <c r="U66" s="183">
        <f t="shared" si="7"/>
        <v>19391.112069918738</v>
      </c>
      <c r="V66" s="183">
        <f t="shared" si="7"/>
        <v>19681.978750967515</v>
      </c>
      <c r="W66" s="183">
        <f t="shared" si="7"/>
        <v>19977.208432232022</v>
      </c>
      <c r="X66" s="183">
        <f t="shared" si="7"/>
        <v>20276.866558715501</v>
      </c>
      <c r="Y66" s="183">
        <f t="shared" si="7"/>
        <v>20581.019557096231</v>
      </c>
      <c r="Z66" s="183">
        <f t="shared" si="7"/>
        <v>20889.734850452674</v>
      </c>
      <c r="AA66" s="183">
        <f t="shared" si="7"/>
        <v>21203.080873209463</v>
      </c>
      <c r="AB66" s="183">
        <f t="shared" si="7"/>
        <v>21521.127086307599</v>
      </c>
      <c r="AC66" s="183">
        <f t="shared" si="7"/>
        <v>21843.94399260221</v>
      </c>
      <c r="AD66" s="183">
        <f t="shared" si="7"/>
        <v>22171.60315249124</v>
      </c>
      <c r="AE66" s="183">
        <f t="shared" si="7"/>
        <v>22504.177199778605</v>
      </c>
      <c r="AF66" s="183">
        <f t="shared" si="7"/>
        <v>22841.739857775279</v>
      </c>
      <c r="AG66" s="183">
        <f t="shared" si="7"/>
        <v>23184.365955641908</v>
      </c>
      <c r="AH66" s="183">
        <f t="shared" si="7"/>
        <v>23532.131444976534</v>
      </c>
      <c r="AI66" s="183">
        <f t="shared" si="7"/>
        <v>23885.11341665118</v>
      </c>
      <c r="AJ66" s="183">
        <f t="shared" si="7"/>
        <v>24243.390117900941</v>
      </c>
      <c r="AK66" s="183">
        <f t="shared" si="7"/>
        <v>24607.040969669451</v>
      </c>
      <c r="AL66" s="183">
        <f t="shared" si="7"/>
        <v>24976.14658421449</v>
      </c>
      <c r="AM66" s="183">
        <f t="shared" si="7"/>
        <v>25350.788782977703</v>
      </c>
      <c r="AN66" s="183">
        <f t="shared" si="7"/>
        <v>25731.050614722364</v>
      </c>
      <c r="AO66" s="184">
        <f t="shared" si="7"/>
        <v>26117.016373943199</v>
      </c>
    </row>
    <row r="67" spans="14:41" ht="25.5" customHeight="1" x14ac:dyDescent="0.15">
      <c r="N67" s="162" t="str">
        <f>$N46</f>
        <v>Geringere Wartung</v>
      </c>
      <c r="O67" s="194">
        <f>O46</f>
        <v>250</v>
      </c>
      <c r="P67" s="182"/>
      <c r="Q67" s="183">
        <f t="shared" ref="Q67:AO67" si="8">$O67*(1+$O57)^Q54</f>
        <v>257.5</v>
      </c>
      <c r="R67" s="183">
        <f t="shared" si="8"/>
        <v>265.22499999999997</v>
      </c>
      <c r="S67" s="183">
        <f t="shared" si="8"/>
        <v>273.18175000000002</v>
      </c>
      <c r="T67" s="183">
        <f t="shared" si="8"/>
        <v>281.37720249999995</v>
      </c>
      <c r="U67" s="183">
        <f t="shared" si="8"/>
        <v>289.81851857499998</v>
      </c>
      <c r="V67" s="183">
        <f t="shared" si="8"/>
        <v>298.51307413224998</v>
      </c>
      <c r="W67" s="183">
        <f t="shared" si="8"/>
        <v>307.4684663562175</v>
      </c>
      <c r="X67" s="183">
        <f t="shared" si="8"/>
        <v>316.69252034690396</v>
      </c>
      <c r="Y67" s="183">
        <f t="shared" si="8"/>
        <v>326.19329595731114</v>
      </c>
      <c r="Z67" s="183">
        <f t="shared" si="8"/>
        <v>335.97909483603047</v>
      </c>
      <c r="AA67" s="183">
        <f t="shared" si="8"/>
        <v>346.05846768111138</v>
      </c>
      <c r="AB67" s="183">
        <f t="shared" si="8"/>
        <v>356.44022171154467</v>
      </c>
      <c r="AC67" s="183">
        <f t="shared" si="8"/>
        <v>367.13342836289098</v>
      </c>
      <c r="AD67" s="183">
        <f t="shared" si="8"/>
        <v>378.14743121377774</v>
      </c>
      <c r="AE67" s="183">
        <f t="shared" si="8"/>
        <v>389.4918541501911</v>
      </c>
      <c r="AF67" s="183">
        <f t="shared" si="8"/>
        <v>401.17660977469677</v>
      </c>
      <c r="AG67" s="183">
        <f t="shared" si="8"/>
        <v>413.21190806793766</v>
      </c>
      <c r="AH67" s="183">
        <f t="shared" si="8"/>
        <v>425.60826530997582</v>
      </c>
      <c r="AI67" s="183">
        <f t="shared" si="8"/>
        <v>438.37651326927505</v>
      </c>
      <c r="AJ67" s="183">
        <f t="shared" si="8"/>
        <v>451.52780866735333</v>
      </c>
      <c r="AK67" s="183">
        <f t="shared" si="8"/>
        <v>465.07364292737384</v>
      </c>
      <c r="AL67" s="183">
        <f t="shared" si="8"/>
        <v>479.02585221519513</v>
      </c>
      <c r="AM67" s="183">
        <f t="shared" si="8"/>
        <v>493.39662778165098</v>
      </c>
      <c r="AN67" s="183">
        <f t="shared" si="8"/>
        <v>508.19852661510043</v>
      </c>
      <c r="AO67" s="184">
        <f t="shared" si="8"/>
        <v>523.44448241355349</v>
      </c>
    </row>
    <row r="68" spans="14:41" ht="25.5" customHeight="1" x14ac:dyDescent="0.15">
      <c r="N68" s="170" t="str">
        <f>$N47</f>
        <v>Schrottwert alter Pumpen</v>
      </c>
      <c r="O68" s="213">
        <f>O47</f>
        <v>1500</v>
      </c>
      <c r="P68" s="187">
        <f>O68</f>
        <v>1500</v>
      </c>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9"/>
    </row>
    <row r="69" spans="14:41" ht="25.5" customHeight="1" x14ac:dyDescent="0.15">
      <c r="N69" s="157" t="s">
        <v>101</v>
      </c>
      <c r="O69" s="195"/>
      <c r="P69" s="190">
        <f t="shared" ref="P69:AO69" si="9">(SUM(P62:P64)+SUM(P66:P68))*P60</f>
        <v>-91500</v>
      </c>
      <c r="Q69" s="191">
        <f t="shared" si="9"/>
        <v>18527.5</v>
      </c>
      <c r="R69" s="191">
        <f t="shared" si="9"/>
        <v>18809.274999999994</v>
      </c>
      <c r="S69" s="191">
        <f t="shared" si="9"/>
        <v>19095.392499999991</v>
      </c>
      <c r="T69" s="191">
        <f t="shared" si="9"/>
        <v>19385.921113749988</v>
      </c>
      <c r="U69" s="191">
        <f t="shared" si="9"/>
        <v>19680.930588493738</v>
      </c>
      <c r="V69" s="191">
        <f t="shared" si="9"/>
        <v>19980.491825099765</v>
      </c>
      <c r="W69" s="191">
        <f t="shared" si="9"/>
        <v>20284.676898588241</v>
      </c>
      <c r="X69" s="191">
        <f t="shared" si="9"/>
        <v>0</v>
      </c>
      <c r="Y69" s="191">
        <f t="shared" si="9"/>
        <v>0</v>
      </c>
      <c r="Z69" s="191">
        <f t="shared" si="9"/>
        <v>0</v>
      </c>
      <c r="AA69" s="191">
        <f t="shared" si="9"/>
        <v>0</v>
      </c>
      <c r="AB69" s="191">
        <f t="shared" si="9"/>
        <v>0</v>
      </c>
      <c r="AC69" s="191">
        <f t="shared" si="9"/>
        <v>0</v>
      </c>
      <c r="AD69" s="191">
        <f t="shared" si="9"/>
        <v>0</v>
      </c>
      <c r="AE69" s="191">
        <f t="shared" si="9"/>
        <v>0</v>
      </c>
      <c r="AF69" s="191">
        <f t="shared" si="9"/>
        <v>0</v>
      </c>
      <c r="AG69" s="191">
        <f t="shared" si="9"/>
        <v>0</v>
      </c>
      <c r="AH69" s="191">
        <f t="shared" si="9"/>
        <v>0</v>
      </c>
      <c r="AI69" s="191">
        <f t="shared" si="9"/>
        <v>0</v>
      </c>
      <c r="AJ69" s="191">
        <f t="shared" si="9"/>
        <v>0</v>
      </c>
      <c r="AK69" s="191">
        <f t="shared" si="9"/>
        <v>0</v>
      </c>
      <c r="AL69" s="191">
        <f t="shared" si="9"/>
        <v>0</v>
      </c>
      <c r="AM69" s="191">
        <f t="shared" si="9"/>
        <v>0</v>
      </c>
      <c r="AN69" s="191">
        <f t="shared" si="9"/>
        <v>0</v>
      </c>
      <c r="AO69" s="192">
        <f t="shared" si="9"/>
        <v>0</v>
      </c>
    </row>
    <row r="70" spans="14:41" ht="25.5" customHeight="1" x14ac:dyDescent="0.15">
      <c r="N70" s="170" t="s">
        <v>102</v>
      </c>
      <c r="O70" s="196"/>
      <c r="P70" s="187">
        <f>(P69)/(1+$O$34)^P54</f>
        <v>-91500</v>
      </c>
      <c r="Q70" s="188">
        <f t="shared" ref="Q70:AO70" si="10">Q69/(1+$O$34)^Q54</f>
        <v>17321.896035901274</v>
      </c>
      <c r="R70" s="188">
        <f t="shared" si="10"/>
        <v>16441.039303937356</v>
      </c>
      <c r="S70" s="188">
        <f t="shared" si="10"/>
        <v>15605.022774668876</v>
      </c>
      <c r="T70" s="188">
        <f t="shared" si="10"/>
        <v>14811.562112655434</v>
      </c>
      <c r="U70" s="188">
        <f t="shared" si="10"/>
        <v>14058.489419867554</v>
      </c>
      <c r="V70" s="188">
        <f t="shared" si="10"/>
        <v>13343.747298235507</v>
      </c>
      <c r="W70" s="188">
        <f t="shared" si="10"/>
        <v>12665.383215053107</v>
      </c>
      <c r="X70" s="188">
        <f t="shared" si="10"/>
        <v>0</v>
      </c>
      <c r="Y70" s="188">
        <f t="shared" si="10"/>
        <v>0</v>
      </c>
      <c r="Z70" s="188">
        <f t="shared" si="10"/>
        <v>0</v>
      </c>
      <c r="AA70" s="188">
        <f t="shared" si="10"/>
        <v>0</v>
      </c>
      <c r="AB70" s="188">
        <f t="shared" si="10"/>
        <v>0</v>
      </c>
      <c r="AC70" s="188">
        <f t="shared" si="10"/>
        <v>0</v>
      </c>
      <c r="AD70" s="188">
        <f t="shared" si="10"/>
        <v>0</v>
      </c>
      <c r="AE70" s="188">
        <f t="shared" si="10"/>
        <v>0</v>
      </c>
      <c r="AF70" s="188">
        <f t="shared" si="10"/>
        <v>0</v>
      </c>
      <c r="AG70" s="188">
        <f t="shared" si="10"/>
        <v>0</v>
      </c>
      <c r="AH70" s="188">
        <f t="shared" si="10"/>
        <v>0</v>
      </c>
      <c r="AI70" s="188">
        <f t="shared" si="10"/>
        <v>0</v>
      </c>
      <c r="AJ70" s="188">
        <f t="shared" si="10"/>
        <v>0</v>
      </c>
      <c r="AK70" s="188">
        <f t="shared" si="10"/>
        <v>0</v>
      </c>
      <c r="AL70" s="188">
        <f t="shared" si="10"/>
        <v>0</v>
      </c>
      <c r="AM70" s="188">
        <f t="shared" si="10"/>
        <v>0</v>
      </c>
      <c r="AN70" s="188">
        <f t="shared" si="10"/>
        <v>0</v>
      </c>
      <c r="AO70" s="189">
        <f t="shared" si="10"/>
        <v>0</v>
      </c>
    </row>
    <row r="71" spans="14:41" ht="25.5" customHeight="1" x14ac:dyDescent="0.15">
      <c r="N71" s="197" t="s">
        <v>104</v>
      </c>
      <c r="O71" s="201"/>
      <c r="P71" s="202">
        <f>SUM(P70:AO70)</f>
        <v>12747.140160319106</v>
      </c>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3"/>
      <c r="AO71" s="204"/>
    </row>
    <row r="72" spans="14:41" ht="24.5" customHeight="1" x14ac:dyDescent="0.15">
      <c r="N72" s="150"/>
      <c r="O72" s="205"/>
      <c r="P72" s="206"/>
      <c r="Q72" s="207"/>
      <c r="R72" s="207"/>
      <c r="S72" s="207"/>
      <c r="T72" s="207"/>
      <c r="U72" s="207"/>
      <c r="V72" s="207"/>
      <c r="W72" s="207"/>
      <c r="X72" s="207"/>
      <c r="Y72" s="207"/>
      <c r="Z72" s="207"/>
      <c r="AA72" s="207"/>
      <c r="AB72" s="207"/>
      <c r="AC72" s="207"/>
      <c r="AD72" s="207"/>
      <c r="AE72" s="207"/>
      <c r="AF72" s="207"/>
      <c r="AG72" s="207"/>
      <c r="AH72" s="207"/>
      <c r="AI72" s="207"/>
      <c r="AJ72" s="207"/>
      <c r="AK72" s="207"/>
      <c r="AL72" s="207"/>
      <c r="AM72" s="207"/>
      <c r="AN72" s="207"/>
      <c r="AO72" s="207"/>
    </row>
    <row r="73" spans="14:41" ht="24.5" customHeight="1" x14ac:dyDescent="0.15">
      <c r="N73" s="92" t="s">
        <v>106</v>
      </c>
      <c r="O73" s="208"/>
      <c r="P73" s="209"/>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0"/>
      <c r="AN73" s="210"/>
      <c r="AO73" s="210"/>
    </row>
    <row r="74" spans="14:41" ht="25.5" customHeight="1" x14ac:dyDescent="0.15">
      <c r="N74" s="153" t="s">
        <v>88</v>
      </c>
      <c r="O74" s="154"/>
      <c r="P74" s="155">
        <v>0</v>
      </c>
      <c r="Q74" s="155">
        <v>1</v>
      </c>
      <c r="R74" s="155">
        <v>2</v>
      </c>
      <c r="S74" s="155">
        <v>3</v>
      </c>
      <c r="T74" s="155">
        <v>4</v>
      </c>
      <c r="U74" s="155">
        <v>5</v>
      </c>
      <c r="V74" s="155">
        <v>6</v>
      </c>
      <c r="W74" s="155">
        <v>7</v>
      </c>
      <c r="X74" s="155">
        <v>8</v>
      </c>
      <c r="Y74" s="155">
        <v>9</v>
      </c>
      <c r="Z74" s="155">
        <v>10</v>
      </c>
      <c r="AA74" s="155">
        <v>11</v>
      </c>
      <c r="AB74" s="155">
        <v>12</v>
      </c>
      <c r="AC74" s="155">
        <v>13</v>
      </c>
      <c r="AD74" s="155">
        <v>14</v>
      </c>
      <c r="AE74" s="155">
        <v>15</v>
      </c>
      <c r="AF74" s="155">
        <v>16</v>
      </c>
      <c r="AG74" s="155">
        <v>17</v>
      </c>
      <c r="AH74" s="155">
        <v>18</v>
      </c>
      <c r="AI74" s="155">
        <v>19</v>
      </c>
      <c r="AJ74" s="155">
        <v>20</v>
      </c>
      <c r="AK74" s="155">
        <v>21</v>
      </c>
      <c r="AL74" s="155">
        <v>22</v>
      </c>
      <c r="AM74" s="155">
        <v>23</v>
      </c>
      <c r="AN74" s="155">
        <v>24</v>
      </c>
      <c r="AO74" s="156">
        <v>25</v>
      </c>
    </row>
    <row r="75" spans="14:41" ht="25.5" customHeight="1" x14ac:dyDescent="0.15">
      <c r="N75" s="157" t="s">
        <v>89</v>
      </c>
      <c r="O75" s="158">
        <f>Q29</f>
        <v>0.05</v>
      </c>
      <c r="P75" s="159"/>
      <c r="Q75" s="160"/>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61"/>
    </row>
    <row r="76" spans="14:41" ht="25.5" customHeight="1" x14ac:dyDescent="0.15">
      <c r="N76" s="162" t="s">
        <v>90</v>
      </c>
      <c r="O76" s="163">
        <f>Q26</f>
        <v>4.4999999999999998E-2</v>
      </c>
      <c r="P76" s="164"/>
      <c r="Q76" s="165"/>
      <c r="R76" s="408"/>
      <c r="S76" s="409"/>
      <c r="T76" s="409"/>
      <c r="U76" s="409"/>
      <c r="V76" s="409"/>
      <c r="W76" s="409"/>
      <c r="X76" s="409"/>
      <c r="Y76" s="409"/>
      <c r="Z76" s="165"/>
      <c r="AA76" s="165"/>
      <c r="AB76" s="165"/>
      <c r="AC76" s="165"/>
      <c r="AD76" s="165"/>
      <c r="AE76" s="165"/>
      <c r="AF76" s="165"/>
      <c r="AG76" s="165"/>
      <c r="AH76" s="165"/>
      <c r="AI76" s="165"/>
      <c r="AJ76" s="165"/>
      <c r="AK76" s="165"/>
      <c r="AL76" s="165"/>
      <c r="AM76" s="165"/>
      <c r="AN76" s="165"/>
      <c r="AO76" s="166"/>
    </row>
    <row r="77" spans="14:41" ht="25.5" customHeight="1" x14ac:dyDescent="0.15">
      <c r="N77" s="162" t="s">
        <v>91</v>
      </c>
      <c r="O77" s="163">
        <f>Q27</f>
        <v>1.4999999999999999E-2</v>
      </c>
      <c r="P77" s="164"/>
      <c r="Q77" s="165"/>
      <c r="R77" s="409"/>
      <c r="S77" s="409"/>
      <c r="T77" s="409"/>
      <c r="U77" s="409"/>
      <c r="V77" s="409"/>
      <c r="W77" s="409"/>
      <c r="X77" s="409"/>
      <c r="Y77" s="409"/>
      <c r="Z77" s="165"/>
      <c r="AA77" s="165"/>
      <c r="AB77" s="165"/>
      <c r="AC77" s="165"/>
      <c r="AD77" s="165"/>
      <c r="AE77" s="165"/>
      <c r="AF77" s="165"/>
      <c r="AG77" s="165"/>
      <c r="AH77" s="165"/>
      <c r="AI77" s="165"/>
      <c r="AJ77" s="165"/>
      <c r="AK77" s="165"/>
      <c r="AL77" s="165"/>
      <c r="AM77" s="165"/>
      <c r="AN77" s="165"/>
      <c r="AO77" s="166"/>
    </row>
    <row r="78" spans="14:41" ht="25.5" customHeight="1" x14ac:dyDescent="0.15">
      <c r="N78" s="162" t="s">
        <v>92</v>
      </c>
      <c r="O78" s="167">
        <v>0.18</v>
      </c>
      <c r="P78" s="164"/>
      <c r="Q78" s="165"/>
      <c r="R78" s="409"/>
      <c r="S78" s="409"/>
      <c r="T78" s="409"/>
      <c r="U78" s="409"/>
      <c r="V78" s="409"/>
      <c r="W78" s="409"/>
      <c r="X78" s="409"/>
      <c r="Y78" s="409"/>
      <c r="Z78" s="165"/>
      <c r="AA78" s="165"/>
      <c r="AB78" s="165"/>
      <c r="AC78" s="165"/>
      <c r="AD78" s="165"/>
      <c r="AE78" s="165"/>
      <c r="AF78" s="165"/>
      <c r="AG78" s="165"/>
      <c r="AH78" s="165"/>
      <c r="AI78" s="165"/>
      <c r="AJ78" s="165"/>
      <c r="AK78" s="165"/>
      <c r="AL78" s="165"/>
      <c r="AM78" s="165"/>
      <c r="AN78" s="165"/>
      <c r="AO78" s="166"/>
    </row>
    <row r="79" spans="14:41" ht="25.5" customHeight="1" x14ac:dyDescent="0.15">
      <c r="N79" s="162" t="s">
        <v>93</v>
      </c>
      <c r="O79" s="168">
        <f>Q28</f>
        <v>20</v>
      </c>
      <c r="P79" s="164"/>
      <c r="Q79" s="165"/>
      <c r="R79" s="95"/>
      <c r="S79" s="95"/>
      <c r="T79" s="95"/>
      <c r="U79" s="95"/>
      <c r="V79" s="95"/>
      <c r="W79" s="95"/>
      <c r="X79" s="95"/>
      <c r="Y79" s="95"/>
      <c r="Z79" s="95"/>
      <c r="AA79" s="95"/>
      <c r="AB79" s="95"/>
      <c r="AC79" s="95"/>
      <c r="AD79" s="95"/>
      <c r="AE79" s="95"/>
      <c r="AF79" s="95"/>
      <c r="AG79" s="95"/>
      <c r="AH79" s="95"/>
      <c r="AI79" s="95"/>
      <c r="AJ79" s="95"/>
      <c r="AK79" s="95"/>
      <c r="AL79" s="95"/>
      <c r="AM79" s="95"/>
      <c r="AN79" s="95"/>
      <c r="AO79" s="169"/>
    </row>
    <row r="80" spans="14:41" ht="25.5" customHeight="1" x14ac:dyDescent="0.15">
      <c r="N80" s="170" t="s">
        <v>94</v>
      </c>
      <c r="O80" s="171"/>
      <c r="P80" s="172">
        <f>IF(O79&gt;=P74,1,0)</f>
        <v>1</v>
      </c>
      <c r="Q80" s="173">
        <f t="shared" ref="Q80:AO80" si="11">IF($O79&gt;=Q74,1,0)</f>
        <v>1</v>
      </c>
      <c r="R80" s="173">
        <f t="shared" si="11"/>
        <v>1</v>
      </c>
      <c r="S80" s="173">
        <f t="shared" si="11"/>
        <v>1</v>
      </c>
      <c r="T80" s="173">
        <f t="shared" si="11"/>
        <v>1</v>
      </c>
      <c r="U80" s="173">
        <f t="shared" si="11"/>
        <v>1</v>
      </c>
      <c r="V80" s="173">
        <f t="shared" si="11"/>
        <v>1</v>
      </c>
      <c r="W80" s="173">
        <f t="shared" si="11"/>
        <v>1</v>
      </c>
      <c r="X80" s="173">
        <f t="shared" si="11"/>
        <v>1</v>
      </c>
      <c r="Y80" s="173">
        <f t="shared" si="11"/>
        <v>1</v>
      </c>
      <c r="Z80" s="173">
        <f t="shared" si="11"/>
        <v>1</v>
      </c>
      <c r="AA80" s="173">
        <f t="shared" si="11"/>
        <v>1</v>
      </c>
      <c r="AB80" s="173">
        <f t="shared" si="11"/>
        <v>1</v>
      </c>
      <c r="AC80" s="173">
        <f t="shared" si="11"/>
        <v>1</v>
      </c>
      <c r="AD80" s="173">
        <f t="shared" si="11"/>
        <v>1</v>
      </c>
      <c r="AE80" s="173">
        <f t="shared" si="11"/>
        <v>1</v>
      </c>
      <c r="AF80" s="173">
        <f t="shared" si="11"/>
        <v>1</v>
      </c>
      <c r="AG80" s="173">
        <f t="shared" si="11"/>
        <v>1</v>
      </c>
      <c r="AH80" s="173">
        <f t="shared" si="11"/>
        <v>1</v>
      </c>
      <c r="AI80" s="173">
        <f t="shared" si="11"/>
        <v>1</v>
      </c>
      <c r="AJ80" s="173">
        <f t="shared" si="11"/>
        <v>1</v>
      </c>
      <c r="AK80" s="173">
        <f t="shared" si="11"/>
        <v>0</v>
      </c>
      <c r="AL80" s="173">
        <f t="shared" si="11"/>
        <v>0</v>
      </c>
      <c r="AM80" s="173">
        <f t="shared" si="11"/>
        <v>0</v>
      </c>
      <c r="AN80" s="173">
        <f t="shared" si="11"/>
        <v>0</v>
      </c>
      <c r="AO80" s="174">
        <f t="shared" si="11"/>
        <v>0</v>
      </c>
    </row>
    <row r="81" spans="14:41" ht="25.5" customHeight="1" x14ac:dyDescent="0.15">
      <c r="N81" s="175" t="s">
        <v>95</v>
      </c>
      <c r="O81" s="176" t="s">
        <v>96</v>
      </c>
      <c r="P81" s="177"/>
      <c r="Q81" s="178"/>
      <c r="R81" s="178"/>
      <c r="S81" s="178"/>
      <c r="T81" s="178"/>
      <c r="U81" s="178"/>
      <c r="V81" s="178"/>
      <c r="W81" s="178"/>
      <c r="X81" s="178"/>
      <c r="Y81" s="178"/>
      <c r="Z81" s="178"/>
      <c r="AA81" s="178"/>
      <c r="AB81" s="178"/>
      <c r="AC81" s="178"/>
      <c r="AD81" s="178"/>
      <c r="AE81" s="178"/>
      <c r="AF81" s="178"/>
      <c r="AG81" s="178"/>
      <c r="AH81" s="178"/>
      <c r="AI81" s="178"/>
      <c r="AJ81" s="178"/>
      <c r="AK81" s="178"/>
      <c r="AL81" s="178"/>
      <c r="AM81" s="178"/>
      <c r="AN81" s="178"/>
      <c r="AO81" s="179"/>
    </row>
    <row r="82" spans="14:41" ht="25.5" customHeight="1" x14ac:dyDescent="0.15">
      <c r="N82" s="162" t="str">
        <f>$N62</f>
        <v>Investitionsauszahlung</v>
      </c>
      <c r="O82" s="214">
        <f>Q24</f>
        <v>50000</v>
      </c>
      <c r="P82" s="182">
        <f>-O82</f>
        <v>-50000</v>
      </c>
      <c r="Q82" s="183"/>
      <c r="R82" s="183"/>
      <c r="S82" s="183"/>
      <c r="T82" s="183"/>
      <c r="U82" s="183"/>
      <c r="V82" s="183"/>
      <c r="W82" s="183"/>
      <c r="X82" s="183"/>
      <c r="Y82" s="183"/>
      <c r="Z82" s="183"/>
      <c r="AA82" s="183"/>
      <c r="AB82" s="183"/>
      <c r="AC82" s="183"/>
      <c r="AD82" s="183"/>
      <c r="AE82" s="183"/>
      <c r="AF82" s="183"/>
      <c r="AG82" s="183"/>
      <c r="AH82" s="183"/>
      <c r="AI82" s="183"/>
      <c r="AJ82" s="183"/>
      <c r="AK82" s="183"/>
      <c r="AL82" s="183"/>
      <c r="AM82" s="183"/>
      <c r="AN82" s="183"/>
      <c r="AO82" s="184"/>
    </row>
    <row r="83" spans="14:41" ht="25.5" customHeight="1" x14ac:dyDescent="0.15">
      <c r="N83" s="162" t="str">
        <f>$N63</f>
        <v>Planungskosten</v>
      </c>
      <c r="O83" s="181">
        <f>O63</f>
        <v>5000</v>
      </c>
      <c r="P83" s="182">
        <f>-O83</f>
        <v>-5000</v>
      </c>
      <c r="Q83" s="183"/>
      <c r="R83" s="183"/>
      <c r="S83" s="183"/>
      <c r="T83" s="183"/>
      <c r="U83" s="183"/>
      <c r="V83" s="183"/>
      <c r="W83" s="183"/>
      <c r="X83" s="183"/>
      <c r="Y83" s="183"/>
      <c r="Z83" s="183"/>
      <c r="AA83" s="183"/>
      <c r="AB83" s="183"/>
      <c r="AC83" s="183"/>
      <c r="AD83" s="183"/>
      <c r="AE83" s="183"/>
      <c r="AF83" s="183"/>
      <c r="AG83" s="183"/>
      <c r="AH83" s="183"/>
      <c r="AI83" s="183"/>
      <c r="AJ83" s="183"/>
      <c r="AK83" s="183"/>
      <c r="AL83" s="183"/>
      <c r="AM83" s="183"/>
      <c r="AN83" s="183"/>
      <c r="AO83" s="184"/>
    </row>
    <row r="84" spans="14:41" ht="25.5" customHeight="1" x14ac:dyDescent="0.15">
      <c r="N84" s="170" t="str">
        <f>$N64</f>
        <v>Produktionsausfälle bei der Inbetriebnahme</v>
      </c>
      <c r="O84" s="186">
        <f>O64</f>
        <v>3000</v>
      </c>
      <c r="P84" s="187">
        <f>-O84</f>
        <v>-3000</v>
      </c>
      <c r="Q84" s="188"/>
      <c r="R84" s="188"/>
      <c r="S84" s="188"/>
      <c r="T84" s="188"/>
      <c r="U84" s="188"/>
      <c r="V84" s="188"/>
      <c r="W84" s="188"/>
      <c r="X84" s="188"/>
      <c r="Y84" s="188"/>
      <c r="Z84" s="188"/>
      <c r="AA84" s="188"/>
      <c r="AB84" s="188"/>
      <c r="AC84" s="188"/>
      <c r="AD84" s="188"/>
      <c r="AE84" s="188"/>
      <c r="AF84" s="188"/>
      <c r="AG84" s="188"/>
      <c r="AH84" s="188"/>
      <c r="AI84" s="188"/>
      <c r="AJ84" s="188"/>
      <c r="AK84" s="188"/>
      <c r="AL84" s="188"/>
      <c r="AM84" s="188"/>
      <c r="AN84" s="188"/>
      <c r="AO84" s="189"/>
    </row>
    <row r="85" spans="14:41" ht="25.5" customHeight="1" x14ac:dyDescent="0.15">
      <c r="N85" s="175" t="s">
        <v>98</v>
      </c>
      <c r="O85" s="176" t="s">
        <v>96</v>
      </c>
      <c r="P85" s="190"/>
      <c r="Q85" s="191"/>
      <c r="R85" s="191"/>
      <c r="S85" s="191"/>
      <c r="T85" s="191"/>
      <c r="U85" s="191"/>
      <c r="V85" s="191"/>
      <c r="W85" s="191"/>
      <c r="X85" s="191"/>
      <c r="Y85" s="191"/>
      <c r="Z85" s="191"/>
      <c r="AA85" s="191"/>
      <c r="AB85" s="191"/>
      <c r="AC85" s="191"/>
      <c r="AD85" s="191"/>
      <c r="AE85" s="191"/>
      <c r="AF85" s="191"/>
      <c r="AG85" s="191"/>
      <c r="AH85" s="191"/>
      <c r="AI85" s="191"/>
      <c r="AJ85" s="191"/>
      <c r="AK85" s="191"/>
      <c r="AL85" s="191"/>
      <c r="AM85" s="191"/>
      <c r="AN85" s="191"/>
      <c r="AO85" s="192"/>
    </row>
    <row r="86" spans="14:41" ht="25.5" customHeight="1" x14ac:dyDescent="0.15">
      <c r="N86" s="162" t="str">
        <f>$N66</f>
        <v>Energieeinsparungen jährlich</v>
      </c>
      <c r="O86" s="193">
        <f>Q25</f>
        <v>175000</v>
      </c>
      <c r="P86" s="182"/>
      <c r="Q86" s="183">
        <f t="shared" ref="Q86:AO86" si="12">$O86*$O78*(1+$O76)^Q74</f>
        <v>32917.5</v>
      </c>
      <c r="R86" s="183">
        <f t="shared" si="12"/>
        <v>34398.787499999991</v>
      </c>
      <c r="S86" s="183">
        <f t="shared" si="12"/>
        <v>35946.732937499997</v>
      </c>
      <c r="T86" s="183">
        <f t="shared" si="12"/>
        <v>37564.335919687481</v>
      </c>
      <c r="U86" s="183">
        <f t="shared" si="12"/>
        <v>39254.731036073419</v>
      </c>
      <c r="V86" s="183">
        <f t="shared" si="12"/>
        <v>41021.193932696711</v>
      </c>
      <c r="W86" s="183">
        <f t="shared" si="12"/>
        <v>42867.147659668073</v>
      </c>
      <c r="X86" s="183">
        <f t="shared" si="12"/>
        <v>44796.16930435312</v>
      </c>
      <c r="Y86" s="183">
        <f t="shared" si="12"/>
        <v>46811.99692304901</v>
      </c>
      <c r="Z86" s="183">
        <f t="shared" si="12"/>
        <v>48918.536784586206</v>
      </c>
      <c r="AA86" s="183">
        <f t="shared" si="12"/>
        <v>51119.870939892586</v>
      </c>
      <c r="AB86" s="183">
        <f t="shared" si="12"/>
        <v>53420.265132187735</v>
      </c>
      <c r="AC86" s="183">
        <f t="shared" si="12"/>
        <v>55824.177063136187</v>
      </c>
      <c r="AD86" s="183">
        <f t="shared" si="12"/>
        <v>58336.265030977302</v>
      </c>
      <c r="AE86" s="183">
        <f t="shared" si="12"/>
        <v>60961.396957371289</v>
      </c>
      <c r="AF86" s="183">
        <f t="shared" si="12"/>
        <v>63704.659820452966</v>
      </c>
      <c r="AG86" s="183">
        <f t="shared" si="12"/>
        <v>66571.369512373349</v>
      </c>
      <c r="AH86" s="183">
        <f t="shared" si="12"/>
        <v>69567.081140430135</v>
      </c>
      <c r="AI86" s="183">
        <f t="shared" si="12"/>
        <v>72697.599791749497</v>
      </c>
      <c r="AJ86" s="183">
        <f t="shared" si="12"/>
        <v>75968.991782378202</v>
      </c>
      <c r="AK86" s="183">
        <f t="shared" si="12"/>
        <v>79387.596412585233</v>
      </c>
      <c r="AL86" s="183">
        <f t="shared" si="12"/>
        <v>82960.038251151534</v>
      </c>
      <c r="AM86" s="183">
        <f t="shared" si="12"/>
        <v>86693.239972453361</v>
      </c>
      <c r="AN86" s="183">
        <f t="shared" si="12"/>
        <v>90594.435771213743</v>
      </c>
      <c r="AO86" s="184">
        <f t="shared" si="12"/>
        <v>94671.185380918352</v>
      </c>
    </row>
    <row r="87" spans="14:41" ht="25.5" customHeight="1" x14ac:dyDescent="0.15">
      <c r="N87" s="162" t="str">
        <f>$N67</f>
        <v>Geringere Wartung</v>
      </c>
      <c r="O87" s="194">
        <f>O67</f>
        <v>250</v>
      </c>
      <c r="P87" s="182"/>
      <c r="Q87" s="183">
        <f t="shared" ref="Q87:AO87" si="13">$O87*(1+$O77)^Q74</f>
        <v>253.74999999999997</v>
      </c>
      <c r="R87" s="183">
        <f t="shared" si="13"/>
        <v>257.55624999999992</v>
      </c>
      <c r="S87" s="183">
        <f t="shared" si="13"/>
        <v>261.41959374999988</v>
      </c>
      <c r="T87" s="183">
        <f t="shared" si="13"/>
        <v>265.34088765624983</v>
      </c>
      <c r="U87" s="183">
        <f t="shared" si="13"/>
        <v>269.32100097109355</v>
      </c>
      <c r="V87" s="183">
        <f t="shared" si="13"/>
        <v>273.36081598565994</v>
      </c>
      <c r="W87" s="183">
        <f t="shared" si="13"/>
        <v>277.46122822544476</v>
      </c>
      <c r="X87" s="183">
        <f t="shared" si="13"/>
        <v>281.62314664882643</v>
      </c>
      <c r="Y87" s="183">
        <f t="shared" si="13"/>
        <v>285.84749384855877</v>
      </c>
      <c r="Z87" s="183">
        <f t="shared" si="13"/>
        <v>290.13520625628712</v>
      </c>
      <c r="AA87" s="183">
        <f t="shared" si="13"/>
        <v>294.48723435013142</v>
      </c>
      <c r="AB87" s="183">
        <f t="shared" si="13"/>
        <v>298.90454286538329</v>
      </c>
      <c r="AC87" s="183">
        <f t="shared" si="13"/>
        <v>303.38811100836404</v>
      </c>
      <c r="AD87" s="183">
        <f t="shared" si="13"/>
        <v>307.93893267348943</v>
      </c>
      <c r="AE87" s="183">
        <f t="shared" si="13"/>
        <v>312.55801666359173</v>
      </c>
      <c r="AF87" s="183">
        <f t="shared" si="13"/>
        <v>317.24638691354556</v>
      </c>
      <c r="AG87" s="183">
        <f t="shared" si="13"/>
        <v>322.00508271724868</v>
      </c>
      <c r="AH87" s="183">
        <f t="shared" si="13"/>
        <v>326.83515895800741</v>
      </c>
      <c r="AI87" s="183">
        <f t="shared" si="13"/>
        <v>331.73768634237751</v>
      </c>
      <c r="AJ87" s="183">
        <f t="shared" si="13"/>
        <v>336.71375163751304</v>
      </c>
      <c r="AK87" s="183">
        <f t="shared" si="13"/>
        <v>341.76445791207573</v>
      </c>
      <c r="AL87" s="183">
        <f t="shared" si="13"/>
        <v>346.89092478075679</v>
      </c>
      <c r="AM87" s="183">
        <f t="shared" si="13"/>
        <v>352.09428865246809</v>
      </c>
      <c r="AN87" s="183">
        <f t="shared" si="13"/>
        <v>357.37570298225506</v>
      </c>
      <c r="AO87" s="184">
        <f t="shared" si="13"/>
        <v>362.7363385269889</v>
      </c>
    </row>
    <row r="88" spans="14:41" ht="25.5" customHeight="1" x14ac:dyDescent="0.15">
      <c r="N88" s="170" t="str">
        <f>$N68</f>
        <v>Schrottwert alter Pumpen</v>
      </c>
      <c r="O88" s="213">
        <f>O68</f>
        <v>1500</v>
      </c>
      <c r="P88" s="187">
        <f>O88</f>
        <v>1500</v>
      </c>
      <c r="Q88" s="188"/>
      <c r="R88" s="188"/>
      <c r="S88" s="188"/>
      <c r="T88" s="188"/>
      <c r="U88" s="188"/>
      <c r="V88" s="188"/>
      <c r="W88" s="188"/>
      <c r="X88" s="188"/>
      <c r="Y88" s="188"/>
      <c r="Z88" s="188"/>
      <c r="AA88" s="188"/>
      <c r="AB88" s="188"/>
      <c r="AC88" s="188"/>
      <c r="AD88" s="188"/>
      <c r="AE88" s="188"/>
      <c r="AF88" s="188"/>
      <c r="AG88" s="188"/>
      <c r="AH88" s="188"/>
      <c r="AI88" s="188"/>
      <c r="AJ88" s="188"/>
      <c r="AK88" s="188"/>
      <c r="AL88" s="188"/>
      <c r="AM88" s="188"/>
      <c r="AN88" s="188"/>
      <c r="AO88" s="189"/>
    </row>
    <row r="89" spans="14:41" ht="25.5" customHeight="1" x14ac:dyDescent="0.15">
      <c r="N89" s="157" t="s">
        <v>101</v>
      </c>
      <c r="O89" s="195"/>
      <c r="P89" s="190">
        <f t="shared" ref="P89:AO89" si="14">(SUM(P82:P84)+SUM(P86:P88))*P80</f>
        <v>-56500</v>
      </c>
      <c r="Q89" s="191">
        <f t="shared" si="14"/>
        <v>33171.25</v>
      </c>
      <c r="R89" s="191">
        <f t="shared" si="14"/>
        <v>34656.343749999993</v>
      </c>
      <c r="S89" s="191">
        <f t="shared" si="14"/>
        <v>36208.152531249994</v>
      </c>
      <c r="T89" s="191">
        <f t="shared" si="14"/>
        <v>37829.676807343727</v>
      </c>
      <c r="U89" s="191">
        <f t="shared" si="14"/>
        <v>39524.052037044516</v>
      </c>
      <c r="V89" s="191">
        <f t="shared" si="14"/>
        <v>41294.554748682371</v>
      </c>
      <c r="W89" s="191">
        <f t="shared" si="14"/>
        <v>43144.608887893519</v>
      </c>
      <c r="X89" s="191">
        <f t="shared" si="14"/>
        <v>45077.792451001944</v>
      </c>
      <c r="Y89" s="191">
        <f t="shared" si="14"/>
        <v>47097.844416897569</v>
      </c>
      <c r="Z89" s="191">
        <f t="shared" si="14"/>
        <v>49208.671990842493</v>
      </c>
      <c r="AA89" s="191">
        <f t="shared" si="14"/>
        <v>51414.35817424272</v>
      </c>
      <c r="AB89" s="191">
        <f t="shared" si="14"/>
        <v>53719.169675053119</v>
      </c>
      <c r="AC89" s="191">
        <f t="shared" si="14"/>
        <v>56127.565174144554</v>
      </c>
      <c r="AD89" s="191">
        <f t="shared" si="14"/>
        <v>58644.203963650791</v>
      </c>
      <c r="AE89" s="191">
        <f t="shared" si="14"/>
        <v>61273.954974034881</v>
      </c>
      <c r="AF89" s="191">
        <f t="shared" si="14"/>
        <v>64021.906207366512</v>
      </c>
      <c r="AG89" s="191">
        <f t="shared" si="14"/>
        <v>66893.374595090601</v>
      </c>
      <c r="AH89" s="191">
        <f t="shared" si="14"/>
        <v>69893.916299388147</v>
      </c>
      <c r="AI89" s="191">
        <f t="shared" si="14"/>
        <v>73029.337478091868</v>
      </c>
      <c r="AJ89" s="191">
        <f t="shared" si="14"/>
        <v>76305.705534015709</v>
      </c>
      <c r="AK89" s="191">
        <f t="shared" si="14"/>
        <v>0</v>
      </c>
      <c r="AL89" s="191">
        <f t="shared" si="14"/>
        <v>0</v>
      </c>
      <c r="AM89" s="191">
        <f t="shared" si="14"/>
        <v>0</v>
      </c>
      <c r="AN89" s="191">
        <f t="shared" si="14"/>
        <v>0</v>
      </c>
      <c r="AO89" s="192">
        <f t="shared" si="14"/>
        <v>0</v>
      </c>
    </row>
    <row r="90" spans="14:41" ht="25.5" customHeight="1" x14ac:dyDescent="0.15">
      <c r="N90" s="170" t="s">
        <v>102</v>
      </c>
      <c r="O90" s="196"/>
      <c r="P90" s="187">
        <f t="shared" ref="P90:AO90" si="15">(P89)/(1+$O75)^P74</f>
        <v>-56500</v>
      </c>
      <c r="Q90" s="188">
        <f t="shared" si="15"/>
        <v>31591.666666666664</v>
      </c>
      <c r="R90" s="188">
        <f t="shared" si="15"/>
        <v>31434.325396825388</v>
      </c>
      <c r="S90" s="188">
        <f t="shared" si="15"/>
        <v>31277.963529856377</v>
      </c>
      <c r="T90" s="188">
        <f t="shared" si="15"/>
        <v>31122.568729978746</v>
      </c>
      <c r="U90" s="188">
        <f t="shared" si="15"/>
        <v>30968.128975885375</v>
      </c>
      <c r="V90" s="188">
        <f t="shared" si="15"/>
        <v>30814.632550720951</v>
      </c>
      <c r="W90" s="188">
        <f t="shared" si="15"/>
        <v>30662.068032392024</v>
      </c>
      <c r="X90" s="188">
        <f t="shared" si="15"/>
        <v>30510.424284197725</v>
      </c>
      <c r="Y90" s="188">
        <f t="shared" si="15"/>
        <v>30359.690445770775</v>
      </c>
      <c r="Z90" s="188">
        <f t="shared" si="15"/>
        <v>30209.855924318148</v>
      </c>
      <c r="AA90" s="188">
        <f t="shared" si="15"/>
        <v>30060.910386151696</v>
      </c>
      <c r="AB90" s="188">
        <f t="shared" si="15"/>
        <v>29912.843748498828</v>
      </c>
      <c r="AC90" s="188">
        <f t="shared" si="15"/>
        <v>29765.646171584143</v>
      </c>
      <c r="AD90" s="188">
        <f t="shared" si="15"/>
        <v>29619.308050972799</v>
      </c>
      <c r="AE90" s="188">
        <f t="shared" si="15"/>
        <v>29473.820010167026</v>
      </c>
      <c r="AF90" s="188">
        <f t="shared" si="15"/>
        <v>29329.172893447347</v>
      </c>
      <c r="AG90" s="188">
        <f t="shared" si="15"/>
        <v>29185.3577589503</v>
      </c>
      <c r="AH90" s="188">
        <f t="shared" si="15"/>
        <v>29042.365871974816</v>
      </c>
      <c r="AI90" s="188">
        <f t="shared" si="15"/>
        <v>28900.188698509679</v>
      </c>
      <c r="AJ90" s="188">
        <f t="shared" si="15"/>
        <v>28758.817898974641</v>
      </c>
      <c r="AK90" s="188">
        <f t="shared" si="15"/>
        <v>0</v>
      </c>
      <c r="AL90" s="188">
        <f t="shared" si="15"/>
        <v>0</v>
      </c>
      <c r="AM90" s="188">
        <f t="shared" si="15"/>
        <v>0</v>
      </c>
      <c r="AN90" s="188">
        <f t="shared" si="15"/>
        <v>0</v>
      </c>
      <c r="AO90" s="189">
        <f t="shared" si="15"/>
        <v>0</v>
      </c>
    </row>
    <row r="91" spans="14:41" ht="25.5" customHeight="1" x14ac:dyDescent="0.15">
      <c r="N91" s="197" t="s">
        <v>104</v>
      </c>
      <c r="O91" s="201"/>
      <c r="P91" s="202">
        <f>SUM(P90:AO90)</f>
        <v>546499.75602584344</v>
      </c>
      <c r="Q91" s="203"/>
      <c r="R91" s="203"/>
      <c r="S91" s="203"/>
      <c r="T91" s="203"/>
      <c r="U91" s="203"/>
      <c r="V91" s="203"/>
      <c r="W91" s="203"/>
      <c r="X91" s="203"/>
      <c r="Y91" s="203"/>
      <c r="Z91" s="203"/>
      <c r="AA91" s="203"/>
      <c r="AB91" s="203"/>
      <c r="AC91" s="203"/>
      <c r="AD91" s="203"/>
      <c r="AE91" s="203"/>
      <c r="AF91" s="203"/>
      <c r="AG91" s="203"/>
      <c r="AH91" s="203"/>
      <c r="AI91" s="203"/>
      <c r="AJ91" s="203"/>
      <c r="AK91" s="203"/>
      <c r="AL91" s="203"/>
      <c r="AM91" s="203"/>
      <c r="AN91" s="203"/>
      <c r="AO91" s="204"/>
    </row>
  </sheetData>
  <mergeCells count="12">
    <mergeCell ref="R56:Y58"/>
    <mergeCell ref="R76:Y78"/>
    <mergeCell ref="U22:U24"/>
    <mergeCell ref="U25:U29"/>
    <mergeCell ref="U21:V21"/>
    <mergeCell ref="B3:M3"/>
    <mergeCell ref="B6:B8"/>
    <mergeCell ref="B9:B13"/>
    <mergeCell ref="B4:C4"/>
    <mergeCell ref="R35:Y37"/>
    <mergeCell ref="O17:Q17"/>
    <mergeCell ref="O18:Q18"/>
  </mergeCells>
  <conditionalFormatting sqref="P50:AO50">
    <cfRule type="cellIs" dxfId="25" priority="1" stopIfTrue="1" operator="lessThan">
      <formula>0</formula>
    </cfRule>
    <cfRule type="cellIs" dxfId="24" priority="2" stopIfTrue="1" operator="greaterThanOrEqual">
      <formula>0</formula>
    </cfRule>
  </conditionalFormatting>
  <pageMargins left="1" right="1" top="1" bottom="1" header="0.25" footer="0.25"/>
  <pageSetup orientation="portrait"/>
  <headerFooter>
    <oddFooter>&amp;C&amp;"Helvetica Neue,Regular"&amp;12&amp;K000000&amp;P</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102"/>
  <sheetViews>
    <sheetView showGridLines="0" workbookViewId="0">
      <selection activeCell="J2" sqref="J2"/>
    </sheetView>
  </sheetViews>
  <sheetFormatPr baseColWidth="10" defaultColWidth="45" defaultRowHeight="17" customHeight="1" x14ac:dyDescent="0.15"/>
  <cols>
    <col min="1" max="1" width="4.1640625" style="215" customWidth="1"/>
    <col min="2" max="2" width="56" style="215" customWidth="1"/>
    <col min="3" max="3" width="36.33203125" style="215" customWidth="1"/>
    <col min="4" max="4" width="32.5" style="215" customWidth="1"/>
    <col min="5" max="5" width="26.5" style="215" customWidth="1"/>
    <col min="6" max="6" width="20.33203125" style="215" customWidth="1"/>
    <col min="7" max="7" width="23.6640625" style="215" customWidth="1"/>
    <col min="8" max="8" width="12.33203125" style="215" customWidth="1"/>
    <col min="9" max="9" width="12.6640625" style="215" customWidth="1"/>
    <col min="10" max="11" width="21.83203125" style="215" customWidth="1"/>
    <col min="12" max="12" width="27.1640625" style="215" customWidth="1"/>
    <col min="13" max="13" width="28.5" style="215" customWidth="1"/>
    <col min="14" max="14" width="16.5" style="215" customWidth="1"/>
    <col min="15" max="15" width="15.6640625" style="215" customWidth="1"/>
    <col min="16" max="16" width="25.83203125" style="215" customWidth="1"/>
    <col min="17" max="17" width="20.5" style="215" customWidth="1"/>
    <col min="18" max="18" width="27.33203125" style="215" customWidth="1"/>
    <col min="19" max="29" width="9.83203125" style="215" customWidth="1"/>
    <col min="30" max="30" width="45" style="215" customWidth="1"/>
    <col min="31" max="16384" width="45" style="215"/>
  </cols>
  <sheetData>
    <row r="1" spans="1:29" ht="30" customHeight="1" x14ac:dyDescent="0.15"/>
    <row r="2" spans="1:29" ht="171.75" customHeight="1" x14ac:dyDescent="0.15">
      <c r="A2" s="216"/>
      <c r="B2" s="217"/>
      <c r="C2" s="217"/>
      <c r="D2" s="217"/>
      <c r="E2" s="217"/>
      <c r="F2" s="217"/>
      <c r="G2" s="217"/>
      <c r="H2" s="217"/>
      <c r="I2" s="218"/>
      <c r="J2" s="218"/>
      <c r="K2" s="218"/>
      <c r="L2" s="218"/>
      <c r="M2" s="218"/>
      <c r="N2" s="218"/>
      <c r="O2" s="218"/>
      <c r="P2" s="218"/>
      <c r="Q2" s="218"/>
      <c r="R2" s="218"/>
      <c r="S2" s="218"/>
      <c r="T2" s="218"/>
      <c r="U2" s="218"/>
      <c r="V2" s="218"/>
      <c r="W2" s="218"/>
      <c r="X2" s="218"/>
      <c r="Y2" s="218"/>
      <c r="Z2" s="218"/>
      <c r="AA2" s="218"/>
      <c r="AB2" s="218"/>
      <c r="AC2" s="219"/>
    </row>
    <row r="3" spans="1:29" ht="20.5" customHeight="1" x14ac:dyDescent="0.15">
      <c r="A3" s="220"/>
      <c r="B3" s="221"/>
      <c r="C3" s="221"/>
      <c r="D3" s="222"/>
      <c r="E3" s="418"/>
      <c r="F3" s="419"/>
      <c r="G3" s="419"/>
      <c r="H3" s="419"/>
      <c r="I3" s="223"/>
      <c r="J3" s="223"/>
      <c r="K3" s="223"/>
      <c r="L3" s="223"/>
      <c r="M3" s="223"/>
      <c r="N3" s="223"/>
      <c r="O3" s="223"/>
      <c r="P3" s="223"/>
      <c r="Q3" s="223"/>
      <c r="R3" s="223"/>
      <c r="S3" s="223"/>
      <c r="T3" s="223"/>
      <c r="U3" s="223"/>
      <c r="V3" s="223"/>
      <c r="W3" s="223"/>
      <c r="X3" s="223"/>
      <c r="Y3" s="223"/>
      <c r="Z3" s="223"/>
      <c r="AA3" s="223"/>
      <c r="AB3" s="223"/>
      <c r="AC3" s="224"/>
    </row>
    <row r="4" spans="1:29" ht="19.5" customHeight="1" x14ac:dyDescent="0.15">
      <c r="A4" s="220"/>
      <c r="B4" s="225" t="s">
        <v>107</v>
      </c>
      <c r="C4" s="226"/>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4"/>
    </row>
    <row r="5" spans="1:29" ht="20.5" customHeight="1" x14ac:dyDescent="0.15">
      <c r="A5" s="220"/>
      <c r="B5" s="227" t="s">
        <v>108</v>
      </c>
      <c r="C5" s="228" t="s">
        <v>109</v>
      </c>
      <c r="D5" s="229"/>
      <c r="E5" s="229"/>
      <c r="F5" s="229"/>
      <c r="G5" s="229"/>
      <c r="H5" s="229"/>
      <c r="I5" s="229"/>
      <c r="J5" s="229"/>
      <c r="K5" s="229"/>
      <c r="L5" s="229"/>
      <c r="M5" s="229"/>
      <c r="N5" s="223"/>
      <c r="O5" s="223"/>
      <c r="P5" s="223"/>
      <c r="Q5" s="223"/>
      <c r="R5" s="223"/>
      <c r="S5" s="223"/>
      <c r="T5" s="223"/>
      <c r="U5" s="223"/>
      <c r="V5" s="223"/>
      <c r="W5" s="223"/>
      <c r="X5" s="223"/>
      <c r="Y5" s="223"/>
      <c r="Z5" s="223"/>
      <c r="AA5" s="223"/>
      <c r="AB5" s="223"/>
      <c r="AC5" s="224"/>
    </row>
    <row r="6" spans="1:29" ht="57" customHeight="1" x14ac:dyDescent="0.15">
      <c r="A6" s="230"/>
      <c r="B6" s="231" t="s">
        <v>22</v>
      </c>
      <c r="C6" s="232"/>
      <c r="D6" s="233" t="s">
        <v>110</v>
      </c>
      <c r="E6" s="233" t="s">
        <v>27</v>
      </c>
      <c r="F6" s="233" t="s">
        <v>25</v>
      </c>
      <c r="G6" s="233" t="s">
        <v>111</v>
      </c>
      <c r="H6" s="233" t="s">
        <v>27</v>
      </c>
      <c r="I6" s="233" t="s">
        <v>28</v>
      </c>
      <c r="J6" s="233" t="s">
        <v>29</v>
      </c>
      <c r="K6" s="233" t="s">
        <v>112</v>
      </c>
      <c r="L6" s="233" t="s">
        <v>31</v>
      </c>
      <c r="M6" s="234" t="s">
        <v>32</v>
      </c>
      <c r="N6" s="235"/>
      <c r="O6" s="223"/>
      <c r="P6" s="223"/>
      <c r="Q6" s="223"/>
      <c r="R6" s="223"/>
      <c r="S6" s="223"/>
      <c r="T6" s="223"/>
      <c r="U6" s="223"/>
      <c r="V6" s="223"/>
      <c r="W6" s="223"/>
      <c r="X6" s="223"/>
      <c r="Y6" s="223"/>
      <c r="Z6" s="223"/>
      <c r="AA6" s="223"/>
      <c r="AB6" s="223"/>
      <c r="AC6" s="224"/>
    </row>
    <row r="7" spans="1:29" ht="39" customHeight="1" x14ac:dyDescent="0.15">
      <c r="A7" s="230"/>
      <c r="B7" s="236" t="s">
        <v>113</v>
      </c>
      <c r="C7" s="63" t="s">
        <v>34</v>
      </c>
      <c r="D7" s="237">
        <v>10</v>
      </c>
      <c r="E7" s="65" t="s">
        <v>35</v>
      </c>
      <c r="F7" s="65" t="s">
        <v>36</v>
      </c>
      <c r="G7" s="238">
        <v>1000</v>
      </c>
      <c r="H7" s="63" t="str">
        <f>"€/ "&amp;E7</f>
        <v>€/ Stk.</v>
      </c>
      <c r="I7" s="239">
        <f>IF(F7="ja",D7*G7,"-")</f>
        <v>10000</v>
      </c>
      <c r="J7" s="63" t="s">
        <v>114</v>
      </c>
      <c r="K7" s="65" t="s">
        <v>38</v>
      </c>
      <c r="L7" s="65" t="s">
        <v>38</v>
      </c>
      <c r="M7" s="68" t="s">
        <v>36</v>
      </c>
      <c r="N7" s="235"/>
      <c r="O7" s="223"/>
      <c r="P7" s="223"/>
      <c r="Q7" s="223"/>
      <c r="R7" s="223"/>
      <c r="S7" s="223"/>
      <c r="T7" s="223"/>
      <c r="U7" s="223"/>
      <c r="V7" s="223"/>
      <c r="W7" s="223"/>
      <c r="X7" s="223"/>
      <c r="Y7" s="223"/>
      <c r="Z7" s="223"/>
      <c r="AA7" s="223"/>
      <c r="AB7" s="223"/>
      <c r="AC7" s="224"/>
    </row>
    <row r="8" spans="1:29" ht="38" customHeight="1" x14ac:dyDescent="0.15">
      <c r="A8" s="230"/>
      <c r="B8" s="427" t="s">
        <v>115</v>
      </c>
      <c r="C8" s="240" t="s">
        <v>116</v>
      </c>
      <c r="D8" s="241">
        <v>2207</v>
      </c>
      <c r="E8" s="242" t="s">
        <v>35</v>
      </c>
      <c r="F8" s="242" t="s">
        <v>36</v>
      </c>
      <c r="G8" s="243">
        <v>200</v>
      </c>
      <c r="H8" s="244" t="s">
        <v>117</v>
      </c>
      <c r="I8" s="245">
        <f>IF(F8="nein","",D8*G8)</f>
        <v>441400</v>
      </c>
      <c r="J8" s="240" t="s">
        <v>114</v>
      </c>
      <c r="K8" s="246" t="s">
        <v>39</v>
      </c>
      <c r="L8" s="246" t="s">
        <v>39</v>
      </c>
      <c r="M8" s="247" t="s">
        <v>36</v>
      </c>
      <c r="N8" s="235"/>
      <c r="O8" s="223"/>
      <c r="P8" s="223"/>
      <c r="Q8" s="223"/>
      <c r="R8" s="223"/>
      <c r="S8" s="223"/>
      <c r="T8" s="223"/>
      <c r="U8" s="223"/>
      <c r="V8" s="223"/>
      <c r="W8" s="223"/>
      <c r="X8" s="223"/>
      <c r="Y8" s="223"/>
      <c r="Z8" s="223"/>
      <c r="AA8" s="223"/>
      <c r="AB8" s="223"/>
      <c r="AC8" s="224"/>
    </row>
    <row r="9" spans="1:29" ht="20.5" customHeight="1" x14ac:dyDescent="0.15">
      <c r="A9" s="230"/>
      <c r="B9" s="424"/>
      <c r="C9" s="248" t="s">
        <v>118</v>
      </c>
      <c r="D9" s="249">
        <v>1</v>
      </c>
      <c r="E9" s="250" t="s">
        <v>35</v>
      </c>
      <c r="F9" s="250" t="s">
        <v>36</v>
      </c>
      <c r="G9" s="251">
        <v>65000</v>
      </c>
      <c r="H9" s="252" t="s">
        <v>117</v>
      </c>
      <c r="I9" s="253">
        <f>IF(F9="nein","",D9*G9)</f>
        <v>65000</v>
      </c>
      <c r="J9" s="248" t="s">
        <v>114</v>
      </c>
      <c r="K9" s="250" t="s">
        <v>39</v>
      </c>
      <c r="L9" s="250" t="s">
        <v>39</v>
      </c>
      <c r="M9" s="254" t="s">
        <v>36</v>
      </c>
      <c r="N9" s="235"/>
      <c r="O9" s="223"/>
      <c r="P9" s="223"/>
      <c r="Q9" s="223"/>
      <c r="R9" s="223"/>
      <c r="S9" s="223"/>
      <c r="T9" s="223"/>
      <c r="U9" s="223"/>
      <c r="V9" s="223"/>
      <c r="W9" s="223"/>
      <c r="X9" s="223"/>
      <c r="Y9" s="223"/>
      <c r="Z9" s="223"/>
      <c r="AA9" s="223"/>
      <c r="AB9" s="223"/>
      <c r="AC9" s="224"/>
    </row>
    <row r="10" spans="1:29" ht="20.5" customHeight="1" x14ac:dyDescent="0.15">
      <c r="A10" s="230"/>
      <c r="B10" s="424"/>
      <c r="C10" s="248" t="s">
        <v>119</v>
      </c>
      <c r="D10" s="249">
        <v>1</v>
      </c>
      <c r="E10" s="250" t="s">
        <v>120</v>
      </c>
      <c r="F10" s="250" t="s">
        <v>36</v>
      </c>
      <c r="G10" s="251">
        <v>320000</v>
      </c>
      <c r="H10" s="248" t="s">
        <v>121</v>
      </c>
      <c r="I10" s="253">
        <f>G10</f>
        <v>320000</v>
      </c>
      <c r="J10" s="248" t="s">
        <v>114</v>
      </c>
      <c r="K10" s="250"/>
      <c r="L10" s="250"/>
      <c r="M10" s="254"/>
      <c r="N10" s="235"/>
      <c r="O10" s="223"/>
      <c r="P10" s="223"/>
      <c r="Q10" s="223"/>
      <c r="R10" s="223"/>
      <c r="S10" s="223"/>
      <c r="T10" s="223"/>
      <c r="U10" s="223"/>
      <c r="V10" s="223"/>
      <c r="W10" s="223"/>
      <c r="X10" s="223"/>
      <c r="Y10" s="223"/>
      <c r="Z10" s="223"/>
      <c r="AA10" s="223"/>
      <c r="AB10" s="223"/>
      <c r="AC10" s="224"/>
    </row>
    <row r="11" spans="1:29" ht="20.5" customHeight="1" x14ac:dyDescent="0.15">
      <c r="A11" s="230"/>
      <c r="B11" s="428"/>
      <c r="C11" s="248" t="s">
        <v>122</v>
      </c>
      <c r="D11" s="249">
        <v>1</v>
      </c>
      <c r="E11" s="250" t="s">
        <v>120</v>
      </c>
      <c r="F11" s="250" t="s">
        <v>36</v>
      </c>
      <c r="G11" s="251">
        <v>3795</v>
      </c>
      <c r="H11" s="248" t="s">
        <v>121</v>
      </c>
      <c r="I11" s="253">
        <f t="shared" ref="I11:I16" si="0">IF(F11="nein","",D11*G11)</f>
        <v>3795</v>
      </c>
      <c r="J11" s="248" t="s">
        <v>52</v>
      </c>
      <c r="K11" s="250" t="s">
        <v>39</v>
      </c>
      <c r="L11" s="250" t="s">
        <v>39</v>
      </c>
      <c r="M11" s="254" t="s">
        <v>36</v>
      </c>
      <c r="N11" s="235"/>
      <c r="O11" s="223"/>
      <c r="P11" s="223"/>
      <c r="Q11" s="223"/>
      <c r="R11" s="223"/>
      <c r="S11" s="223"/>
      <c r="T11" s="223"/>
      <c r="U11" s="223"/>
      <c r="V11" s="223"/>
      <c r="W11" s="223"/>
      <c r="X11" s="223"/>
      <c r="Y11" s="223"/>
      <c r="Z11" s="223"/>
      <c r="AA11" s="223"/>
      <c r="AB11" s="223"/>
      <c r="AC11" s="224"/>
    </row>
    <row r="12" spans="1:29" ht="20.5" customHeight="1" x14ac:dyDescent="0.15">
      <c r="A12" s="230"/>
      <c r="B12" s="423" t="s">
        <v>49</v>
      </c>
      <c r="C12" s="248" t="s">
        <v>123</v>
      </c>
      <c r="D12" s="255">
        <v>626380</v>
      </c>
      <c r="E12" s="250" t="s">
        <v>51</v>
      </c>
      <c r="F12" s="250" t="s">
        <v>36</v>
      </c>
      <c r="G12" s="256">
        <v>0.16800000000000001</v>
      </c>
      <c r="H12" s="248" t="s">
        <v>124</v>
      </c>
      <c r="I12" s="253">
        <f t="shared" si="0"/>
        <v>105231.84000000001</v>
      </c>
      <c r="J12" s="248" t="s">
        <v>52</v>
      </c>
      <c r="K12" s="257">
        <v>0.05</v>
      </c>
      <c r="L12" s="258">
        <v>5.0000000000000001E-3</v>
      </c>
      <c r="M12" s="259"/>
      <c r="N12" s="235"/>
      <c r="O12" s="223"/>
      <c r="P12" s="223"/>
      <c r="Q12" s="223"/>
      <c r="R12" s="223"/>
      <c r="S12" s="223"/>
      <c r="T12" s="223"/>
      <c r="U12" s="223"/>
      <c r="V12" s="223"/>
      <c r="W12" s="223"/>
      <c r="X12" s="223"/>
      <c r="Y12" s="223"/>
      <c r="Z12" s="223"/>
      <c r="AA12" s="223"/>
      <c r="AB12" s="223"/>
      <c r="AC12" s="224"/>
    </row>
    <row r="13" spans="1:29" ht="20.5" customHeight="1" x14ac:dyDescent="0.15">
      <c r="A13" s="230"/>
      <c r="B13" s="424"/>
      <c r="C13" s="248" t="s">
        <v>125</v>
      </c>
      <c r="D13" s="255">
        <v>30203</v>
      </c>
      <c r="E13" s="250" t="s">
        <v>51</v>
      </c>
      <c r="F13" s="250" t="s">
        <v>36</v>
      </c>
      <c r="G13" s="256">
        <v>0.04</v>
      </c>
      <c r="H13" s="248" t="s">
        <v>124</v>
      </c>
      <c r="I13" s="253">
        <f t="shared" si="0"/>
        <v>1208.1200000000001</v>
      </c>
      <c r="J13" s="248" t="s">
        <v>52</v>
      </c>
      <c r="K13" s="260">
        <v>0</v>
      </c>
      <c r="L13" s="258">
        <f>L12</f>
        <v>5.0000000000000001E-3</v>
      </c>
      <c r="M13" s="259"/>
      <c r="N13" s="235"/>
      <c r="O13" s="223"/>
      <c r="P13" s="223"/>
      <c r="Q13" s="223"/>
      <c r="R13" s="223"/>
      <c r="S13" s="223"/>
      <c r="T13" s="223"/>
      <c r="U13" s="223"/>
      <c r="V13" s="223"/>
      <c r="W13" s="223"/>
      <c r="X13" s="223"/>
      <c r="Y13" s="223"/>
      <c r="Z13" s="223"/>
      <c r="AA13" s="223"/>
      <c r="AB13" s="223"/>
      <c r="AC13" s="224"/>
    </row>
    <row r="14" spans="1:29" ht="20.5" customHeight="1" x14ac:dyDescent="0.15">
      <c r="A14" s="230"/>
      <c r="B14" s="424"/>
      <c r="C14" s="248" t="s">
        <v>126</v>
      </c>
      <c r="D14" s="250" t="s">
        <v>38</v>
      </c>
      <c r="E14" s="261"/>
      <c r="F14" s="250" t="s">
        <v>61</v>
      </c>
      <c r="G14" s="262"/>
      <c r="H14" s="263"/>
      <c r="I14" s="264" t="str">
        <f t="shared" si="0"/>
        <v/>
      </c>
      <c r="J14" s="248" t="s">
        <v>52</v>
      </c>
      <c r="K14" s="261"/>
      <c r="L14" s="261"/>
      <c r="M14" s="259"/>
      <c r="N14" s="235"/>
      <c r="O14" s="223"/>
      <c r="P14" s="223"/>
      <c r="Q14" s="223"/>
      <c r="R14" s="223"/>
      <c r="S14" s="223"/>
      <c r="T14" s="223"/>
      <c r="U14" s="223"/>
      <c r="V14" s="223"/>
      <c r="W14" s="223"/>
      <c r="X14" s="223"/>
      <c r="Y14" s="223"/>
      <c r="Z14" s="223"/>
      <c r="AA14" s="223"/>
      <c r="AB14" s="223"/>
      <c r="AC14" s="224"/>
    </row>
    <row r="15" spans="1:29" ht="20.5" customHeight="1" x14ac:dyDescent="0.15">
      <c r="A15" s="230"/>
      <c r="B15" s="424"/>
      <c r="C15" s="248" t="s">
        <v>127</v>
      </c>
      <c r="D15" s="250" t="s">
        <v>38</v>
      </c>
      <c r="E15" s="261"/>
      <c r="F15" s="250" t="s">
        <v>61</v>
      </c>
      <c r="G15" s="262"/>
      <c r="H15" s="265"/>
      <c r="I15" s="264" t="str">
        <f t="shared" si="0"/>
        <v/>
      </c>
      <c r="J15" s="248" t="s">
        <v>52</v>
      </c>
      <c r="K15" s="261"/>
      <c r="L15" s="261"/>
      <c r="M15" s="259"/>
      <c r="N15" s="235"/>
      <c r="O15" s="223"/>
      <c r="P15" s="223"/>
      <c r="Q15" s="223"/>
      <c r="R15" s="223"/>
      <c r="S15" s="223"/>
      <c r="T15" s="223"/>
      <c r="U15" s="223"/>
      <c r="V15" s="223"/>
      <c r="W15" s="223"/>
      <c r="X15" s="223"/>
      <c r="Y15" s="223"/>
      <c r="Z15" s="223"/>
      <c r="AA15" s="223"/>
      <c r="AB15" s="223"/>
      <c r="AC15" s="224"/>
    </row>
    <row r="16" spans="1:29" ht="21" customHeight="1" x14ac:dyDescent="0.15">
      <c r="A16" s="230"/>
      <c r="B16" s="425"/>
      <c r="C16" s="266"/>
      <c r="D16" s="267"/>
      <c r="E16" s="267"/>
      <c r="F16" s="267"/>
      <c r="G16" s="268"/>
      <c r="H16" s="266"/>
      <c r="I16" s="269">
        <f t="shared" si="0"/>
        <v>0</v>
      </c>
      <c r="J16" s="266"/>
      <c r="K16" s="267"/>
      <c r="L16" s="267"/>
      <c r="M16" s="270"/>
      <c r="N16" s="235"/>
      <c r="O16" s="223"/>
      <c r="P16" s="223"/>
      <c r="Q16" s="223"/>
      <c r="R16" s="223"/>
      <c r="S16" s="223"/>
      <c r="T16" s="223"/>
      <c r="U16" s="223"/>
      <c r="V16" s="223"/>
      <c r="W16" s="223"/>
      <c r="X16" s="223"/>
      <c r="Y16" s="223"/>
      <c r="Z16" s="223"/>
      <c r="AA16" s="223"/>
      <c r="AB16" s="223"/>
      <c r="AC16" s="224"/>
    </row>
    <row r="17" spans="1:29" ht="24.5" customHeight="1" x14ac:dyDescent="0.15">
      <c r="A17" s="220"/>
      <c r="B17" s="221"/>
      <c r="C17" s="271"/>
      <c r="D17" s="222"/>
      <c r="E17" s="222"/>
      <c r="F17" s="222"/>
      <c r="G17" s="222"/>
      <c r="H17" s="222"/>
      <c r="I17" s="222"/>
      <c r="J17" s="222"/>
      <c r="K17" s="222"/>
      <c r="L17" s="222"/>
      <c r="M17" s="222"/>
      <c r="N17" s="223"/>
      <c r="O17" s="223"/>
      <c r="P17" s="223"/>
      <c r="Q17" s="223"/>
      <c r="R17" s="223"/>
      <c r="S17" s="223"/>
      <c r="T17" s="223"/>
      <c r="U17" s="223"/>
      <c r="V17" s="223"/>
      <c r="W17" s="223"/>
      <c r="X17" s="223"/>
      <c r="Y17" s="223"/>
      <c r="Z17" s="223"/>
      <c r="AA17" s="223"/>
      <c r="AB17" s="223"/>
      <c r="AC17" s="224"/>
    </row>
    <row r="18" spans="1:29" ht="24.5" customHeight="1" x14ac:dyDescent="0.15">
      <c r="A18" s="220"/>
      <c r="B18" s="227" t="s">
        <v>128</v>
      </c>
      <c r="C18" s="272"/>
      <c r="D18" s="229"/>
      <c r="E18" s="229"/>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4"/>
    </row>
    <row r="19" spans="1:29" ht="53" customHeight="1" x14ac:dyDescent="0.15">
      <c r="A19" s="230"/>
      <c r="B19" s="273" t="s">
        <v>66</v>
      </c>
      <c r="C19" s="274" t="s">
        <v>129</v>
      </c>
      <c r="D19" s="275" t="s">
        <v>105</v>
      </c>
      <c r="E19" s="276" t="s">
        <v>106</v>
      </c>
      <c r="F19" s="235"/>
      <c r="G19" s="416"/>
      <c r="H19" s="417"/>
      <c r="I19" s="417"/>
      <c r="J19" s="417"/>
      <c r="K19" s="417"/>
      <c r="L19" s="417"/>
      <c r="M19" s="417"/>
      <c r="N19" s="223"/>
      <c r="O19" s="223"/>
      <c r="P19" s="223"/>
      <c r="Q19" s="223"/>
      <c r="R19" s="223"/>
      <c r="S19" s="223"/>
      <c r="T19" s="223"/>
      <c r="U19" s="223"/>
      <c r="V19" s="223"/>
      <c r="W19" s="223"/>
      <c r="X19" s="223"/>
      <c r="Y19" s="223"/>
      <c r="Z19" s="223"/>
      <c r="AA19" s="223"/>
      <c r="AB19" s="223"/>
      <c r="AC19" s="224"/>
    </row>
    <row r="20" spans="1:29" ht="20.5" customHeight="1" x14ac:dyDescent="0.15">
      <c r="A20" s="230"/>
      <c r="B20" s="278" t="s">
        <v>130</v>
      </c>
      <c r="C20" s="426">
        <v>1</v>
      </c>
      <c r="D20" s="421"/>
      <c r="E20" s="422"/>
      <c r="F20" s="235"/>
      <c r="G20" s="223"/>
      <c r="H20" s="223"/>
      <c r="I20" s="223"/>
      <c r="J20" s="223"/>
      <c r="K20" s="223"/>
      <c r="L20" s="223"/>
      <c r="M20" s="223"/>
      <c r="N20" s="223"/>
      <c r="O20" s="223"/>
      <c r="P20" s="223"/>
      <c r="Q20" s="223"/>
      <c r="R20" s="223"/>
      <c r="S20" s="223"/>
      <c r="T20" s="223"/>
      <c r="U20" s="223"/>
      <c r="V20" s="223"/>
      <c r="W20" s="223"/>
      <c r="X20" s="223"/>
      <c r="Y20" s="223"/>
      <c r="Z20" s="223"/>
      <c r="AA20" s="223"/>
      <c r="AB20" s="223"/>
      <c r="AC20" s="224"/>
    </row>
    <row r="21" spans="1:29" ht="20.5" customHeight="1" x14ac:dyDescent="0.15">
      <c r="A21" s="230"/>
      <c r="B21" s="278" t="s">
        <v>131</v>
      </c>
      <c r="C21" s="420">
        <f>100%-C20</f>
        <v>0</v>
      </c>
      <c r="D21" s="421"/>
      <c r="E21" s="422"/>
      <c r="F21" s="235"/>
      <c r="G21" s="223"/>
      <c r="H21" s="223"/>
      <c r="I21" s="223"/>
      <c r="J21" s="223"/>
      <c r="K21" s="223"/>
      <c r="L21" s="223"/>
      <c r="M21" s="223"/>
      <c r="N21" s="223"/>
      <c r="O21" s="223"/>
      <c r="P21" s="223"/>
      <c r="Q21" s="223"/>
      <c r="R21" s="223"/>
      <c r="S21" s="223"/>
      <c r="T21" s="223"/>
      <c r="U21" s="223"/>
      <c r="V21" s="223"/>
      <c r="W21" s="223"/>
      <c r="X21" s="223"/>
      <c r="Y21" s="223"/>
      <c r="Z21" s="223"/>
      <c r="AA21" s="223"/>
      <c r="AB21" s="223"/>
      <c r="AC21" s="224"/>
    </row>
    <row r="22" spans="1:29" ht="20.5" customHeight="1" x14ac:dyDescent="0.15">
      <c r="A22" s="230"/>
      <c r="B22" s="278" t="s">
        <v>132</v>
      </c>
      <c r="C22" s="279">
        <v>2.5000000000000001E-2</v>
      </c>
      <c r="D22" s="258">
        <v>0.03</v>
      </c>
      <c r="E22" s="280">
        <v>0.01</v>
      </c>
      <c r="F22" s="235"/>
      <c r="G22" s="223"/>
      <c r="H22" s="223"/>
      <c r="I22" s="223"/>
      <c r="J22" s="223"/>
      <c r="K22" s="223"/>
      <c r="L22" s="223"/>
      <c r="M22" s="223"/>
      <c r="N22" s="223"/>
      <c r="O22" s="223"/>
      <c r="P22" s="223"/>
      <c r="Q22" s="223"/>
      <c r="R22" s="223"/>
      <c r="S22" s="223"/>
      <c r="T22" s="223"/>
      <c r="U22" s="223"/>
      <c r="V22" s="223"/>
      <c r="W22" s="223"/>
      <c r="X22" s="223"/>
      <c r="Y22" s="223"/>
      <c r="Z22" s="223"/>
      <c r="AA22" s="223"/>
      <c r="AB22" s="223"/>
      <c r="AC22" s="224"/>
    </row>
    <row r="23" spans="1:29" ht="21" customHeight="1" x14ac:dyDescent="0.15">
      <c r="A23" s="230"/>
      <c r="B23" s="281" t="s">
        <v>133</v>
      </c>
      <c r="C23" s="258">
        <v>0</v>
      </c>
      <c r="D23" s="258">
        <v>0</v>
      </c>
      <c r="E23" s="280">
        <v>0</v>
      </c>
      <c r="F23" s="235"/>
      <c r="G23" s="223"/>
      <c r="H23" s="223"/>
      <c r="I23" s="223"/>
      <c r="J23" s="223"/>
      <c r="K23" s="223"/>
      <c r="L23" s="223"/>
      <c r="M23" s="223"/>
      <c r="N23" s="223"/>
      <c r="O23" s="223"/>
      <c r="P23" s="223"/>
      <c r="Q23" s="223"/>
      <c r="R23" s="223"/>
      <c r="S23" s="223"/>
      <c r="T23" s="223"/>
      <c r="U23" s="223"/>
      <c r="V23" s="223"/>
      <c r="W23" s="223"/>
      <c r="X23" s="223"/>
      <c r="Y23" s="223"/>
      <c r="Z23" s="223"/>
      <c r="AA23" s="223"/>
      <c r="AB23" s="223"/>
      <c r="AC23" s="224"/>
    </row>
    <row r="24" spans="1:29" ht="40.5" customHeight="1" x14ac:dyDescent="0.15">
      <c r="A24" s="230"/>
      <c r="B24" s="282" t="s">
        <v>134</v>
      </c>
      <c r="C24" s="283">
        <f>C22*C20+C23*C21</f>
        <v>2.5000000000000001E-2</v>
      </c>
      <c r="D24" s="284">
        <f>D22*C20+D23*C21</f>
        <v>0.03</v>
      </c>
      <c r="E24" s="285">
        <f>E22*C20+E23*C21</f>
        <v>0.01</v>
      </c>
      <c r="F24" s="235"/>
      <c r="G24" s="223"/>
      <c r="H24" s="223"/>
      <c r="I24" s="430"/>
      <c r="J24" s="417"/>
      <c r="K24" s="286"/>
      <c r="L24" s="286"/>
      <c r="M24" s="286"/>
      <c r="N24" s="286"/>
      <c r="O24" s="286"/>
      <c r="P24" s="286"/>
      <c r="Q24" s="286"/>
      <c r="R24" s="286"/>
      <c r="S24" s="223"/>
      <c r="T24" s="223"/>
      <c r="U24" s="223"/>
      <c r="V24" s="223"/>
      <c r="W24" s="223"/>
      <c r="X24" s="223"/>
      <c r="Y24" s="223"/>
      <c r="Z24" s="223"/>
      <c r="AA24" s="223"/>
      <c r="AB24" s="223"/>
      <c r="AC24" s="224"/>
    </row>
    <row r="25" spans="1:29" ht="24.5" customHeight="1" x14ac:dyDescent="0.15">
      <c r="A25" s="220"/>
      <c r="B25" s="221"/>
      <c r="C25" s="271"/>
      <c r="D25" s="222"/>
      <c r="E25" s="222"/>
      <c r="F25" s="223"/>
      <c r="G25" s="223"/>
      <c r="H25" s="223"/>
      <c r="I25" s="286"/>
      <c r="J25" s="286"/>
      <c r="K25" s="286"/>
      <c r="L25" s="286"/>
      <c r="M25" s="286"/>
      <c r="N25" s="286"/>
      <c r="O25" s="286"/>
      <c r="P25" s="286"/>
      <c r="Q25" s="286"/>
      <c r="R25" s="286"/>
      <c r="S25" s="223"/>
      <c r="T25" s="223"/>
      <c r="U25" s="223"/>
      <c r="V25" s="223"/>
      <c r="W25" s="223"/>
      <c r="X25" s="223"/>
      <c r="Y25" s="223"/>
      <c r="Z25" s="223"/>
      <c r="AA25" s="223"/>
      <c r="AB25" s="223"/>
      <c r="AC25" s="224"/>
    </row>
    <row r="26" spans="1:29" ht="24.5" customHeight="1" x14ac:dyDescent="0.15">
      <c r="A26" s="220"/>
      <c r="B26" s="227" t="s">
        <v>135</v>
      </c>
      <c r="C26" s="272"/>
      <c r="D26" s="229"/>
      <c r="E26" s="229"/>
      <c r="F26" s="223"/>
      <c r="G26" s="223"/>
      <c r="H26" s="223"/>
      <c r="I26" s="430"/>
      <c r="J26" s="286"/>
      <c r="K26" s="286"/>
      <c r="L26" s="286"/>
      <c r="M26" s="286"/>
      <c r="N26" s="286"/>
      <c r="O26" s="286"/>
      <c r="P26" s="286"/>
      <c r="Q26" s="286"/>
      <c r="R26" s="286"/>
      <c r="S26" s="223"/>
      <c r="T26" s="223"/>
      <c r="U26" s="223"/>
      <c r="V26" s="223"/>
      <c r="W26" s="223"/>
      <c r="X26" s="223"/>
      <c r="Y26" s="223"/>
      <c r="Z26" s="223"/>
      <c r="AA26" s="223"/>
      <c r="AB26" s="223"/>
      <c r="AC26" s="224"/>
    </row>
    <row r="27" spans="1:29" ht="25.5" customHeight="1" x14ac:dyDescent="0.15">
      <c r="A27" s="230"/>
      <c r="B27" s="287" t="s">
        <v>136</v>
      </c>
      <c r="C27" s="288" t="s">
        <v>137</v>
      </c>
      <c r="D27" s="289" t="s">
        <v>138</v>
      </c>
      <c r="E27" s="290" t="s">
        <v>139</v>
      </c>
      <c r="F27" s="235"/>
      <c r="G27" s="223"/>
      <c r="H27" s="223"/>
      <c r="I27" s="417"/>
      <c r="J27" s="286"/>
      <c r="K27" s="286"/>
      <c r="L27" s="286"/>
      <c r="M27" s="286"/>
      <c r="N27" s="286"/>
      <c r="O27" s="286"/>
      <c r="P27" s="286"/>
      <c r="Q27" s="286"/>
      <c r="R27" s="286"/>
      <c r="S27" s="223"/>
      <c r="T27" s="223"/>
      <c r="U27" s="223"/>
      <c r="V27" s="223"/>
      <c r="W27" s="223"/>
      <c r="X27" s="223"/>
      <c r="Y27" s="223"/>
      <c r="Z27" s="223"/>
      <c r="AA27" s="223"/>
      <c r="AB27" s="223"/>
      <c r="AC27" s="224"/>
    </row>
    <row r="28" spans="1:29" ht="25" customHeight="1" x14ac:dyDescent="0.15">
      <c r="A28" s="230"/>
      <c r="B28" s="291" t="s">
        <v>140</v>
      </c>
      <c r="C28" s="292">
        <f>I8+I9+I10</f>
        <v>826400</v>
      </c>
      <c r="D28" s="293">
        <f>C28*1.2</f>
        <v>991680</v>
      </c>
      <c r="E28" s="294">
        <f>C28*0.8</f>
        <v>661120</v>
      </c>
      <c r="F28" s="235"/>
      <c r="G28" s="223"/>
      <c r="H28" s="223"/>
      <c r="I28" s="417"/>
      <c r="J28" s="286"/>
      <c r="K28" s="286"/>
      <c r="L28" s="286"/>
      <c r="M28" s="286"/>
      <c r="N28" s="286"/>
      <c r="O28" s="286"/>
      <c r="P28" s="286"/>
      <c r="Q28" s="286"/>
      <c r="R28" s="286"/>
      <c r="S28" s="223"/>
      <c r="T28" s="223"/>
      <c r="U28" s="223"/>
      <c r="V28" s="223"/>
      <c r="W28" s="223"/>
      <c r="X28" s="223"/>
      <c r="Y28" s="223"/>
      <c r="Z28" s="223"/>
      <c r="AA28" s="223"/>
      <c r="AB28" s="223"/>
      <c r="AC28" s="224"/>
    </row>
    <row r="29" spans="1:29" ht="25" customHeight="1" x14ac:dyDescent="0.15">
      <c r="A29" s="230"/>
      <c r="B29" s="295" t="s">
        <v>141</v>
      </c>
      <c r="C29" s="296">
        <f>C28/772</f>
        <v>1070.4663212435232</v>
      </c>
      <c r="D29" s="297">
        <f>D28/772</f>
        <v>1284.5595854922281</v>
      </c>
      <c r="E29" s="298">
        <f>E28/772</f>
        <v>856.37305699481863</v>
      </c>
      <c r="F29" s="235"/>
      <c r="G29" s="223"/>
      <c r="H29" s="223"/>
      <c r="I29" s="277"/>
      <c r="J29" s="286"/>
      <c r="K29" s="286"/>
      <c r="L29" s="286"/>
      <c r="M29" s="286"/>
      <c r="N29" s="286"/>
      <c r="O29" s="286"/>
      <c r="P29" s="286"/>
      <c r="Q29" s="286"/>
      <c r="R29" s="286"/>
      <c r="S29" s="223"/>
      <c r="T29" s="223"/>
      <c r="U29" s="223"/>
      <c r="V29" s="223"/>
      <c r="W29" s="223"/>
      <c r="X29" s="223"/>
      <c r="Y29" s="223"/>
      <c r="Z29" s="223"/>
      <c r="AA29" s="223"/>
      <c r="AB29" s="223"/>
      <c r="AC29" s="224"/>
    </row>
    <row r="30" spans="1:29" ht="24.25" customHeight="1" x14ac:dyDescent="0.15">
      <c r="A30" s="230"/>
      <c r="B30" s="295" t="s">
        <v>142</v>
      </c>
      <c r="C30" s="299">
        <f>I11</f>
        <v>3795</v>
      </c>
      <c r="D30" s="300">
        <f>C30*1.2</f>
        <v>4554</v>
      </c>
      <c r="E30" s="301">
        <f>C30*0.8</f>
        <v>3036</v>
      </c>
      <c r="F30" s="235"/>
      <c r="G30" s="223"/>
      <c r="H30" s="223"/>
      <c r="I30" s="286"/>
      <c r="J30" s="286"/>
      <c r="K30" s="286"/>
      <c r="L30" s="286"/>
      <c r="M30" s="286"/>
      <c r="N30" s="286"/>
      <c r="O30" s="286"/>
      <c r="P30" s="286"/>
      <c r="Q30" s="286"/>
      <c r="R30" s="286"/>
      <c r="S30" s="223"/>
      <c r="T30" s="223"/>
      <c r="U30" s="223"/>
      <c r="V30" s="223"/>
      <c r="W30" s="223"/>
      <c r="X30" s="223"/>
      <c r="Y30" s="223"/>
      <c r="Z30" s="223"/>
      <c r="AA30" s="223"/>
      <c r="AB30" s="223"/>
      <c r="AC30" s="224"/>
    </row>
    <row r="31" spans="1:29" ht="24.25" customHeight="1" x14ac:dyDescent="0.15">
      <c r="A31" s="230"/>
      <c r="B31" s="295" t="s">
        <v>143</v>
      </c>
      <c r="C31" s="302">
        <v>0.96599999999999997</v>
      </c>
      <c r="D31" s="303">
        <v>0.7</v>
      </c>
      <c r="E31" s="304">
        <v>0.98</v>
      </c>
      <c r="F31" s="235"/>
      <c r="G31" s="223"/>
      <c r="H31" s="223"/>
      <c r="I31" s="286"/>
      <c r="J31" s="286"/>
      <c r="K31" s="286"/>
      <c r="L31" s="286"/>
      <c r="M31" s="286"/>
      <c r="N31" s="286"/>
      <c r="O31" s="286"/>
      <c r="P31" s="286"/>
      <c r="Q31" s="286"/>
      <c r="R31" s="286"/>
      <c r="S31" s="223"/>
      <c r="T31" s="223"/>
      <c r="U31" s="223"/>
      <c r="V31" s="223"/>
      <c r="W31" s="223"/>
      <c r="X31" s="223"/>
      <c r="Y31" s="223"/>
      <c r="Z31" s="223"/>
      <c r="AA31" s="223"/>
      <c r="AB31" s="223"/>
      <c r="AC31" s="224"/>
    </row>
    <row r="32" spans="1:29" ht="24.25" customHeight="1" x14ac:dyDescent="0.15">
      <c r="A32" s="230"/>
      <c r="B32" s="295" t="s">
        <v>144</v>
      </c>
      <c r="C32" s="305">
        <f>D12</f>
        <v>626380</v>
      </c>
      <c r="D32" s="306">
        <v>459608</v>
      </c>
      <c r="E32" s="307">
        <v>543451</v>
      </c>
      <c r="F32" s="235"/>
      <c r="G32" s="223"/>
      <c r="H32" s="223"/>
      <c r="I32" s="286"/>
      <c r="J32" s="286"/>
      <c r="K32" s="286"/>
      <c r="L32" s="286"/>
      <c r="M32" s="286"/>
      <c r="N32" s="286"/>
      <c r="O32" s="286"/>
      <c r="P32" s="286"/>
      <c r="Q32" s="286"/>
      <c r="R32" s="286"/>
      <c r="S32" s="223"/>
      <c r="T32" s="223"/>
      <c r="U32" s="223"/>
      <c r="V32" s="223"/>
      <c r="W32" s="223"/>
      <c r="X32" s="223"/>
      <c r="Y32" s="223"/>
      <c r="Z32" s="223"/>
      <c r="AA32" s="223"/>
      <c r="AB32" s="223"/>
      <c r="AC32" s="224"/>
    </row>
    <row r="33" spans="1:29" ht="24.25" customHeight="1" x14ac:dyDescent="0.15">
      <c r="A33" s="230"/>
      <c r="B33" s="295" t="s">
        <v>145</v>
      </c>
      <c r="C33" s="305">
        <f>D13</f>
        <v>30203</v>
      </c>
      <c r="D33" s="306">
        <v>196975</v>
      </c>
      <c r="E33" s="307">
        <v>13132</v>
      </c>
      <c r="F33" s="235"/>
      <c r="G33" s="223"/>
      <c r="H33" s="223"/>
      <c r="I33" s="277"/>
      <c r="J33" s="286"/>
      <c r="K33" s="286"/>
      <c r="L33" s="286"/>
      <c r="M33" s="286"/>
      <c r="N33" s="286"/>
      <c r="O33" s="286"/>
      <c r="P33" s="286"/>
      <c r="Q33" s="286"/>
      <c r="R33" s="286"/>
      <c r="S33" s="223"/>
      <c r="T33" s="223"/>
      <c r="U33" s="223"/>
      <c r="V33" s="223"/>
      <c r="W33" s="223"/>
      <c r="X33" s="223"/>
      <c r="Y33" s="223"/>
      <c r="Z33" s="223"/>
      <c r="AA33" s="223"/>
      <c r="AB33" s="223"/>
      <c r="AC33" s="224"/>
    </row>
    <row r="34" spans="1:29" ht="24.25" customHeight="1" x14ac:dyDescent="0.15">
      <c r="A34" s="230"/>
      <c r="B34" s="295" t="s">
        <v>146</v>
      </c>
      <c r="C34" s="302">
        <v>0.05</v>
      </c>
      <c r="D34" s="303">
        <v>0.03</v>
      </c>
      <c r="E34" s="308">
        <v>0.05</v>
      </c>
      <c r="F34" s="235"/>
      <c r="G34" s="223"/>
      <c r="H34" s="223"/>
      <c r="I34" s="277"/>
      <c r="J34" s="286"/>
      <c r="K34" s="286"/>
      <c r="L34" s="286"/>
      <c r="M34" s="286"/>
      <c r="N34" s="286"/>
      <c r="O34" s="286"/>
      <c r="P34" s="286"/>
      <c r="Q34" s="286"/>
      <c r="R34" s="286"/>
      <c r="S34" s="223"/>
      <c r="T34" s="223"/>
      <c r="U34" s="223"/>
      <c r="V34" s="223"/>
      <c r="W34" s="223"/>
      <c r="X34" s="223"/>
      <c r="Y34" s="223"/>
      <c r="Z34" s="223"/>
      <c r="AA34" s="223"/>
      <c r="AB34" s="223"/>
      <c r="AC34" s="224"/>
    </row>
    <row r="35" spans="1:29" ht="40.25" customHeight="1" x14ac:dyDescent="0.15">
      <c r="A35" s="230"/>
      <c r="B35" s="295" t="s">
        <v>147</v>
      </c>
      <c r="C35" s="302">
        <v>0.04</v>
      </c>
      <c r="D35" s="303">
        <v>0.06</v>
      </c>
      <c r="E35" s="308">
        <v>0.02</v>
      </c>
      <c r="F35" s="235"/>
      <c r="G35" s="223"/>
      <c r="H35" s="223"/>
      <c r="I35" s="277"/>
      <c r="J35" s="286"/>
      <c r="K35" s="286"/>
      <c r="L35" s="286"/>
      <c r="M35" s="286"/>
      <c r="N35" s="286"/>
      <c r="O35" s="286"/>
      <c r="P35" s="286"/>
      <c r="Q35" s="286"/>
      <c r="R35" s="286"/>
      <c r="S35" s="223"/>
      <c r="T35" s="223"/>
      <c r="U35" s="223"/>
      <c r="V35" s="223"/>
      <c r="W35" s="223"/>
      <c r="X35" s="223"/>
      <c r="Y35" s="223"/>
      <c r="Z35" s="223"/>
      <c r="AA35" s="223"/>
      <c r="AB35" s="223"/>
      <c r="AC35" s="224"/>
    </row>
    <row r="36" spans="1:29" ht="24.25" customHeight="1" x14ac:dyDescent="0.15">
      <c r="A36" s="230"/>
      <c r="B36" s="295" t="s">
        <v>148</v>
      </c>
      <c r="C36" s="309">
        <v>20</v>
      </c>
      <c r="D36" s="310">
        <v>20</v>
      </c>
      <c r="E36" s="311">
        <v>25</v>
      </c>
      <c r="F36" s="235"/>
      <c r="G36" s="223"/>
      <c r="H36" s="223"/>
      <c r="I36" s="277"/>
      <c r="J36" s="286"/>
      <c r="K36" s="286"/>
      <c r="L36" s="286"/>
      <c r="M36" s="286"/>
      <c r="N36" s="286"/>
      <c r="O36" s="286"/>
      <c r="P36" s="286"/>
      <c r="Q36" s="286"/>
      <c r="R36" s="286"/>
      <c r="S36" s="223"/>
      <c r="T36" s="223"/>
      <c r="U36" s="223"/>
      <c r="V36" s="223"/>
      <c r="W36" s="223"/>
      <c r="X36" s="223"/>
      <c r="Y36" s="223"/>
      <c r="Z36" s="223"/>
      <c r="AA36" s="223"/>
      <c r="AB36" s="223"/>
      <c r="AC36" s="224"/>
    </row>
    <row r="37" spans="1:29" ht="25" customHeight="1" x14ac:dyDescent="0.15">
      <c r="A37" s="230"/>
      <c r="B37" s="312" t="s">
        <v>149</v>
      </c>
      <c r="C37" s="313">
        <f>C24</f>
        <v>2.5000000000000001E-2</v>
      </c>
      <c r="D37" s="314">
        <f>D24</f>
        <v>0.03</v>
      </c>
      <c r="E37" s="315">
        <f>E24</f>
        <v>0.01</v>
      </c>
      <c r="F37" s="235"/>
      <c r="G37" s="223"/>
      <c r="H37" s="223"/>
      <c r="I37" s="277"/>
      <c r="J37" s="286"/>
      <c r="K37" s="286"/>
      <c r="L37" s="286"/>
      <c r="M37" s="286"/>
      <c r="N37" s="286"/>
      <c r="O37" s="286"/>
      <c r="P37" s="286"/>
      <c r="Q37" s="286"/>
      <c r="R37" s="286"/>
      <c r="S37" s="223"/>
      <c r="T37" s="223"/>
      <c r="U37" s="223"/>
      <c r="V37" s="223"/>
      <c r="W37" s="223"/>
      <c r="X37" s="223"/>
      <c r="Y37" s="223"/>
      <c r="Z37" s="223"/>
      <c r="AA37" s="223"/>
      <c r="AB37" s="223"/>
      <c r="AC37" s="224"/>
    </row>
    <row r="38" spans="1:29" ht="25.5" customHeight="1" x14ac:dyDescent="0.15">
      <c r="A38" s="230"/>
      <c r="B38" s="316" t="s">
        <v>17</v>
      </c>
      <c r="C38" s="317">
        <f>D60</f>
        <v>1838996.5238742656</v>
      </c>
      <c r="D38" s="318">
        <f>D81</f>
        <v>544137.76419788424</v>
      </c>
      <c r="E38" s="319">
        <f>D102</f>
        <v>3192834.2027422702</v>
      </c>
      <c r="F38" s="320"/>
      <c r="G38" s="321"/>
      <c r="H38" s="321"/>
      <c r="I38" s="321"/>
      <c r="J38" s="321"/>
      <c r="K38" s="321"/>
      <c r="L38" s="321"/>
      <c r="M38" s="321"/>
      <c r="N38" s="321"/>
      <c r="O38" s="321"/>
      <c r="P38" s="321"/>
      <c r="Q38" s="321"/>
      <c r="R38" s="321"/>
      <c r="S38" s="321"/>
      <c r="T38" s="321"/>
      <c r="U38" s="321"/>
      <c r="V38" s="321"/>
      <c r="W38" s="321"/>
      <c r="X38" s="321"/>
      <c r="Y38" s="321"/>
      <c r="Z38" s="321"/>
      <c r="AA38" s="321"/>
      <c r="AB38" s="321"/>
      <c r="AC38" s="322"/>
    </row>
    <row r="39" spans="1:29" ht="24.5" customHeight="1" x14ac:dyDescent="0.15">
      <c r="A39" s="220"/>
      <c r="B39" s="221"/>
      <c r="C39" s="271"/>
      <c r="D39" s="222"/>
      <c r="E39" s="222"/>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4"/>
    </row>
    <row r="40" spans="1:29" ht="24.5" customHeight="1" x14ac:dyDescent="0.15">
      <c r="A40" s="220"/>
      <c r="B40" s="431" t="s">
        <v>150</v>
      </c>
      <c r="C40" s="432"/>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323"/>
    </row>
    <row r="41" spans="1:29" ht="25.5" customHeight="1" x14ac:dyDescent="0.15">
      <c r="A41" s="230"/>
      <c r="B41" s="324" t="s">
        <v>151</v>
      </c>
      <c r="C41" s="325"/>
      <c r="D41" s="326">
        <v>0</v>
      </c>
      <c r="E41" s="326">
        <v>1</v>
      </c>
      <c r="F41" s="326">
        <v>2</v>
      </c>
      <c r="G41" s="326">
        <v>3</v>
      </c>
      <c r="H41" s="326">
        <v>4</v>
      </c>
      <c r="I41" s="326">
        <v>5</v>
      </c>
      <c r="J41" s="326">
        <v>6</v>
      </c>
      <c r="K41" s="326">
        <v>7</v>
      </c>
      <c r="L41" s="326">
        <v>8</v>
      </c>
      <c r="M41" s="326">
        <v>9</v>
      </c>
      <c r="N41" s="326">
        <v>10</v>
      </c>
      <c r="O41" s="326">
        <v>11</v>
      </c>
      <c r="P41" s="326">
        <v>12</v>
      </c>
      <c r="Q41" s="326">
        <v>13</v>
      </c>
      <c r="R41" s="326">
        <v>14</v>
      </c>
      <c r="S41" s="326">
        <v>15</v>
      </c>
      <c r="T41" s="326">
        <v>16</v>
      </c>
      <c r="U41" s="326">
        <v>17</v>
      </c>
      <c r="V41" s="326">
        <v>18</v>
      </c>
      <c r="W41" s="326">
        <v>19</v>
      </c>
      <c r="X41" s="326">
        <v>20</v>
      </c>
      <c r="Y41" s="326">
        <v>21</v>
      </c>
      <c r="Z41" s="326">
        <v>22</v>
      </c>
      <c r="AA41" s="326">
        <v>23</v>
      </c>
      <c r="AB41" s="326">
        <v>24</v>
      </c>
      <c r="AC41" s="327">
        <v>25</v>
      </c>
    </row>
    <row r="42" spans="1:29" ht="25.5" customHeight="1" x14ac:dyDescent="0.15">
      <c r="A42" s="230"/>
      <c r="B42" s="328" t="s">
        <v>152</v>
      </c>
      <c r="C42" s="329">
        <f>C24</f>
        <v>2.5000000000000001E-2</v>
      </c>
      <c r="D42" s="330"/>
      <c r="E42" s="331"/>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332"/>
    </row>
    <row r="43" spans="1:29" ht="25.5" customHeight="1" x14ac:dyDescent="0.15">
      <c r="A43" s="230"/>
      <c r="B43" s="333" t="s">
        <v>153</v>
      </c>
      <c r="C43" s="334">
        <f>C34</f>
        <v>0.05</v>
      </c>
      <c r="D43" s="335"/>
      <c r="E43" s="336"/>
      <c r="F43" s="429"/>
      <c r="G43" s="417"/>
      <c r="H43" s="417"/>
      <c r="I43" s="417"/>
      <c r="J43" s="417"/>
      <c r="K43" s="417"/>
      <c r="L43" s="417"/>
      <c r="M43" s="417"/>
      <c r="N43" s="336"/>
      <c r="O43" s="336"/>
      <c r="P43" s="336"/>
      <c r="Q43" s="336"/>
      <c r="R43" s="336"/>
      <c r="S43" s="336"/>
      <c r="T43" s="336"/>
      <c r="U43" s="336"/>
      <c r="V43" s="336"/>
      <c r="W43" s="336"/>
      <c r="X43" s="336"/>
      <c r="Y43" s="336"/>
      <c r="Z43" s="336"/>
      <c r="AA43" s="336"/>
      <c r="AB43" s="336"/>
      <c r="AC43" s="338"/>
    </row>
    <row r="44" spans="1:29" ht="25.5" customHeight="1" x14ac:dyDescent="0.15">
      <c r="A44" s="230"/>
      <c r="B44" s="333" t="s">
        <v>154</v>
      </c>
      <c r="C44" s="334">
        <f>C35</f>
        <v>0.04</v>
      </c>
      <c r="D44" s="335"/>
      <c r="E44" s="336"/>
      <c r="F44" s="417"/>
      <c r="G44" s="417"/>
      <c r="H44" s="417"/>
      <c r="I44" s="417"/>
      <c r="J44" s="417"/>
      <c r="K44" s="417"/>
      <c r="L44" s="417"/>
      <c r="M44" s="417"/>
      <c r="N44" s="336"/>
      <c r="O44" s="336"/>
      <c r="P44" s="336"/>
      <c r="Q44" s="336"/>
      <c r="R44" s="336"/>
      <c r="S44" s="336"/>
      <c r="T44" s="336"/>
      <c r="U44" s="336"/>
      <c r="V44" s="336"/>
      <c r="W44" s="336"/>
      <c r="X44" s="336"/>
      <c r="Y44" s="336"/>
      <c r="Z44" s="336"/>
      <c r="AA44" s="336"/>
      <c r="AB44" s="336"/>
      <c r="AC44" s="338"/>
    </row>
    <row r="45" spans="1:29" ht="25.5" customHeight="1" x14ac:dyDescent="0.15">
      <c r="A45" s="230"/>
      <c r="B45" s="333" t="s">
        <v>155</v>
      </c>
      <c r="C45" s="339">
        <f>G12</f>
        <v>0.16800000000000001</v>
      </c>
      <c r="D45" s="335"/>
      <c r="E45" s="336"/>
      <c r="F45" s="417"/>
      <c r="G45" s="417"/>
      <c r="H45" s="417"/>
      <c r="I45" s="417"/>
      <c r="J45" s="417"/>
      <c r="K45" s="417"/>
      <c r="L45" s="417"/>
      <c r="M45" s="417"/>
      <c r="N45" s="336"/>
      <c r="O45" s="336"/>
      <c r="P45" s="336"/>
      <c r="Q45" s="336"/>
      <c r="R45" s="336"/>
      <c r="S45" s="336"/>
      <c r="T45" s="336"/>
      <c r="U45" s="336"/>
      <c r="V45" s="336"/>
      <c r="W45" s="336"/>
      <c r="X45" s="336"/>
      <c r="Y45" s="336"/>
      <c r="Z45" s="336"/>
      <c r="AA45" s="336"/>
      <c r="AB45" s="336"/>
      <c r="AC45" s="338"/>
    </row>
    <row r="46" spans="1:29" ht="25.5" customHeight="1" x14ac:dyDescent="0.15">
      <c r="A46" s="230"/>
      <c r="B46" s="333" t="s">
        <v>156</v>
      </c>
      <c r="C46" s="339">
        <f>G13</f>
        <v>0.04</v>
      </c>
      <c r="D46" s="335"/>
      <c r="E46" s="336"/>
      <c r="F46" s="337"/>
      <c r="G46" s="337"/>
      <c r="H46" s="337"/>
      <c r="I46" s="337"/>
      <c r="J46" s="337"/>
      <c r="K46" s="337"/>
      <c r="L46" s="337"/>
      <c r="M46" s="337"/>
      <c r="N46" s="336"/>
      <c r="O46" s="336"/>
      <c r="P46" s="336"/>
      <c r="Q46" s="336"/>
      <c r="R46" s="336"/>
      <c r="S46" s="336"/>
      <c r="T46" s="336"/>
      <c r="U46" s="336"/>
      <c r="V46" s="336"/>
      <c r="W46" s="336"/>
      <c r="X46" s="336"/>
      <c r="Y46" s="336"/>
      <c r="Z46" s="336"/>
      <c r="AA46" s="336"/>
      <c r="AB46" s="336"/>
      <c r="AC46" s="338"/>
    </row>
    <row r="47" spans="1:29" ht="25.5" customHeight="1" x14ac:dyDescent="0.15">
      <c r="A47" s="230"/>
      <c r="B47" s="333" t="s">
        <v>157</v>
      </c>
      <c r="C47" s="340">
        <f>C36</f>
        <v>20</v>
      </c>
      <c r="D47" s="335"/>
      <c r="E47" s="336"/>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341"/>
    </row>
    <row r="48" spans="1:29" ht="25.5" customHeight="1" x14ac:dyDescent="0.15">
      <c r="A48" s="230"/>
      <c r="B48" s="342" t="s">
        <v>94</v>
      </c>
      <c r="C48" s="343"/>
      <c r="D48" s="344">
        <f>IF(C47&gt;=D41,1,0)</f>
        <v>1</v>
      </c>
      <c r="E48" s="345">
        <f t="shared" ref="E48:AC48" si="1">IF($C$47&gt;=E41,1,0)</f>
        <v>1</v>
      </c>
      <c r="F48" s="345">
        <f t="shared" si="1"/>
        <v>1</v>
      </c>
      <c r="G48" s="345">
        <f t="shared" si="1"/>
        <v>1</v>
      </c>
      <c r="H48" s="345">
        <f t="shared" si="1"/>
        <v>1</v>
      </c>
      <c r="I48" s="345">
        <f t="shared" si="1"/>
        <v>1</v>
      </c>
      <c r="J48" s="345">
        <f t="shared" si="1"/>
        <v>1</v>
      </c>
      <c r="K48" s="345">
        <f t="shared" si="1"/>
        <v>1</v>
      </c>
      <c r="L48" s="345">
        <f t="shared" si="1"/>
        <v>1</v>
      </c>
      <c r="M48" s="345">
        <f t="shared" si="1"/>
        <v>1</v>
      </c>
      <c r="N48" s="345">
        <f t="shared" si="1"/>
        <v>1</v>
      </c>
      <c r="O48" s="345">
        <f t="shared" si="1"/>
        <v>1</v>
      </c>
      <c r="P48" s="345">
        <f t="shared" si="1"/>
        <v>1</v>
      </c>
      <c r="Q48" s="345">
        <f t="shared" si="1"/>
        <v>1</v>
      </c>
      <c r="R48" s="345">
        <f t="shared" si="1"/>
        <v>1</v>
      </c>
      <c r="S48" s="345">
        <f t="shared" si="1"/>
        <v>1</v>
      </c>
      <c r="T48" s="345">
        <f t="shared" si="1"/>
        <v>1</v>
      </c>
      <c r="U48" s="345">
        <f t="shared" si="1"/>
        <v>1</v>
      </c>
      <c r="V48" s="345">
        <f t="shared" si="1"/>
        <v>1</v>
      </c>
      <c r="W48" s="345">
        <f t="shared" si="1"/>
        <v>1</v>
      </c>
      <c r="X48" s="345">
        <f t="shared" si="1"/>
        <v>1</v>
      </c>
      <c r="Y48" s="345">
        <f t="shared" si="1"/>
        <v>0</v>
      </c>
      <c r="Z48" s="345">
        <f t="shared" si="1"/>
        <v>0</v>
      </c>
      <c r="AA48" s="345">
        <f t="shared" si="1"/>
        <v>0</v>
      </c>
      <c r="AB48" s="345">
        <f t="shared" si="1"/>
        <v>0</v>
      </c>
      <c r="AC48" s="346">
        <f t="shared" si="1"/>
        <v>0</v>
      </c>
    </row>
    <row r="49" spans="1:29" ht="25.5" customHeight="1" x14ac:dyDescent="0.15">
      <c r="A49" s="230"/>
      <c r="B49" s="328" t="s">
        <v>158</v>
      </c>
      <c r="C49" s="347" t="s">
        <v>96</v>
      </c>
      <c r="D49" s="348"/>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50"/>
    </row>
    <row r="50" spans="1:29" ht="25.5" customHeight="1" x14ac:dyDescent="0.15">
      <c r="A50" s="230"/>
      <c r="B50" s="351" t="str">
        <f>$B28</f>
        <v>Investitionsauszahlung komplett</v>
      </c>
      <c r="C50" s="352">
        <f>C28</f>
        <v>826400</v>
      </c>
      <c r="D50" s="353">
        <f>-C50</f>
        <v>-826400</v>
      </c>
      <c r="E50" s="354"/>
      <c r="F50" s="354"/>
      <c r="G50" s="354"/>
      <c r="H50" s="354"/>
      <c r="I50" s="354"/>
      <c r="J50" s="354"/>
      <c r="K50" s="354"/>
      <c r="L50" s="354"/>
      <c r="M50" s="354"/>
      <c r="N50" s="354"/>
      <c r="O50" s="354"/>
      <c r="P50" s="354"/>
      <c r="Q50" s="354"/>
      <c r="R50" s="354"/>
      <c r="S50" s="354"/>
      <c r="T50" s="354"/>
      <c r="U50" s="354"/>
      <c r="V50" s="354"/>
      <c r="W50" s="354"/>
      <c r="X50" s="354"/>
      <c r="Y50" s="354"/>
      <c r="Z50" s="354"/>
      <c r="AA50" s="354"/>
      <c r="AB50" s="354"/>
      <c r="AC50" s="355"/>
    </row>
    <row r="51" spans="1:29" ht="25.5" customHeight="1" x14ac:dyDescent="0.15">
      <c r="A51" s="230"/>
      <c r="B51" s="351" t="str">
        <f>$B30</f>
        <v>Jahresbetriebskosten</v>
      </c>
      <c r="C51" s="352">
        <f>C30</f>
        <v>3795</v>
      </c>
      <c r="D51" s="353"/>
      <c r="E51" s="354">
        <f t="shared" ref="E51:AC51" si="2">-$C$51*(1+$C$44)^E41</f>
        <v>-3946.8</v>
      </c>
      <c r="F51" s="354">
        <f t="shared" si="2"/>
        <v>-4104.6720000000005</v>
      </c>
      <c r="G51" s="354">
        <f t="shared" si="2"/>
        <v>-4268.8588800000007</v>
      </c>
      <c r="H51" s="354">
        <f t="shared" si="2"/>
        <v>-4439.6132352000004</v>
      </c>
      <c r="I51" s="354">
        <f t="shared" si="2"/>
        <v>-4617.1977646080013</v>
      </c>
      <c r="J51" s="354">
        <f t="shared" si="2"/>
        <v>-4801.8856751923213</v>
      </c>
      <c r="K51" s="354">
        <f t="shared" si="2"/>
        <v>-4993.9611022000136</v>
      </c>
      <c r="L51" s="354">
        <f t="shared" si="2"/>
        <v>-5193.7195462880154</v>
      </c>
      <c r="M51" s="354">
        <f t="shared" si="2"/>
        <v>-5401.4683281395364</v>
      </c>
      <c r="N51" s="354">
        <f t="shared" si="2"/>
        <v>-5617.5270612651175</v>
      </c>
      <c r="O51" s="354">
        <f t="shared" si="2"/>
        <v>-5842.2281437157217</v>
      </c>
      <c r="P51" s="354">
        <f t="shared" si="2"/>
        <v>-6075.9172694643521</v>
      </c>
      <c r="Q51" s="354">
        <f t="shared" si="2"/>
        <v>-6318.9539602429268</v>
      </c>
      <c r="R51" s="354">
        <f t="shared" si="2"/>
        <v>-6571.7121186526438</v>
      </c>
      <c r="S51" s="354">
        <f t="shared" si="2"/>
        <v>-6834.5806033987492</v>
      </c>
      <c r="T51" s="354">
        <f t="shared" si="2"/>
        <v>-7107.9638275346997</v>
      </c>
      <c r="U51" s="354">
        <f t="shared" si="2"/>
        <v>-7392.2823806360884</v>
      </c>
      <c r="V51" s="354">
        <f t="shared" si="2"/>
        <v>-7687.9736758615327</v>
      </c>
      <c r="W51" s="354">
        <f t="shared" si="2"/>
        <v>-7995.4926228959939</v>
      </c>
      <c r="X51" s="354">
        <f t="shared" si="2"/>
        <v>-8315.3123278118328</v>
      </c>
      <c r="Y51" s="354">
        <f t="shared" si="2"/>
        <v>-8647.9248209243087</v>
      </c>
      <c r="Z51" s="354">
        <f t="shared" si="2"/>
        <v>-8993.8418137612807</v>
      </c>
      <c r="AA51" s="354">
        <f t="shared" si="2"/>
        <v>-9353.5954863117313</v>
      </c>
      <c r="AB51" s="354">
        <f t="shared" si="2"/>
        <v>-9727.7393057642021</v>
      </c>
      <c r="AC51" s="355">
        <f t="shared" si="2"/>
        <v>-10116.848877994771</v>
      </c>
    </row>
    <row r="52" spans="1:29" ht="25.5" customHeight="1" x14ac:dyDescent="0.15">
      <c r="A52" s="230"/>
      <c r="B52" s="356"/>
      <c r="C52" s="357"/>
      <c r="D52" s="358">
        <f>-C52</f>
        <v>0</v>
      </c>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60"/>
    </row>
    <row r="53" spans="1:29" ht="25.5" customHeight="1" x14ac:dyDescent="0.15">
      <c r="A53" s="230"/>
      <c r="B53" s="328" t="s">
        <v>159</v>
      </c>
      <c r="C53" s="347" t="s">
        <v>96</v>
      </c>
      <c r="D53" s="361"/>
      <c r="E53" s="362"/>
      <c r="F53" s="362"/>
      <c r="G53" s="362"/>
      <c r="H53" s="362"/>
      <c r="I53" s="362"/>
      <c r="J53" s="362"/>
      <c r="K53" s="362"/>
      <c r="L53" s="362"/>
      <c r="M53" s="362"/>
      <c r="N53" s="362"/>
      <c r="O53" s="362"/>
      <c r="P53" s="362"/>
      <c r="Q53" s="362"/>
      <c r="R53" s="362"/>
      <c r="S53" s="362"/>
      <c r="T53" s="362"/>
      <c r="U53" s="362"/>
      <c r="V53" s="362"/>
      <c r="W53" s="362"/>
      <c r="X53" s="362"/>
      <c r="Y53" s="362"/>
      <c r="Z53" s="362"/>
      <c r="AA53" s="362"/>
      <c r="AB53" s="362"/>
      <c r="AC53" s="363"/>
    </row>
    <row r="54" spans="1:29" ht="25.5" customHeight="1" x14ac:dyDescent="0.15">
      <c r="A54" s="230"/>
      <c r="B54" s="351" t="str">
        <f>$B32</f>
        <v xml:space="preserve">Jährliche Energieeinsparung </v>
      </c>
      <c r="C54" s="364">
        <f>C32</f>
        <v>626380</v>
      </c>
      <c r="D54" s="353"/>
      <c r="E54" s="354">
        <f t="shared" ref="E54:AC54" si="3">$C$54*(1-$L$12/100)^E41*$C$45*(1+$C$43)^E41</f>
        <v>110487.9073284</v>
      </c>
      <c r="F54" s="354">
        <f t="shared" si="3"/>
        <v>116006.50207968526</v>
      </c>
      <c r="G54" s="354">
        <f t="shared" si="3"/>
        <v>121800.73684231036</v>
      </c>
      <c r="H54" s="354">
        <f t="shared" si="3"/>
        <v>127884.37914574165</v>
      </c>
      <c r="I54" s="354">
        <f t="shared" si="3"/>
        <v>134271.8841731236</v>
      </c>
      <c r="J54" s="354">
        <f t="shared" si="3"/>
        <v>140978.42910786066</v>
      </c>
      <c r="K54" s="354">
        <f t="shared" si="3"/>
        <v>148019.94919572555</v>
      </c>
      <c r="L54" s="354">
        <f t="shared" si="3"/>
        <v>155413.17560817904</v>
      </c>
      <c r="M54" s="354">
        <f t="shared" si="3"/>
        <v>163175.67519686857</v>
      </c>
      <c r="N54" s="354">
        <f t="shared" si="3"/>
        <v>171325.89223376414</v>
      </c>
      <c r="O54" s="354">
        <f t="shared" si="3"/>
        <v>179883.19223611013</v>
      </c>
      <c r="P54" s="354">
        <f t="shared" si="3"/>
        <v>188867.90798032322</v>
      </c>
      <c r="Q54" s="354">
        <f t="shared" si="3"/>
        <v>198301.38781417042</v>
      </c>
      <c r="R54" s="354">
        <f t="shared" si="3"/>
        <v>208206.04638201866</v>
      </c>
      <c r="S54" s="354">
        <f t="shared" si="3"/>
        <v>218605.41788368457</v>
      </c>
      <c r="T54" s="354">
        <f t="shared" si="3"/>
        <v>229524.2119934299</v>
      </c>
      <c r="U54" s="354">
        <f t="shared" si="3"/>
        <v>240988.37257197179</v>
      </c>
      <c r="V54" s="354">
        <f t="shared" si="3"/>
        <v>253025.13931101037</v>
      </c>
      <c r="W54" s="354">
        <f t="shared" si="3"/>
        <v>265663.11245674704</v>
      </c>
      <c r="X54" s="354">
        <f t="shared" si="3"/>
        <v>278932.3207661804</v>
      </c>
      <c r="Y54" s="354">
        <f t="shared" si="3"/>
        <v>292864.29285764915</v>
      </c>
      <c r="Z54" s="354">
        <f t="shared" si="3"/>
        <v>307492.13212515658</v>
      </c>
      <c r="AA54" s="354">
        <f t="shared" si="3"/>
        <v>322850.59539447795</v>
      </c>
      <c r="AB54" s="354">
        <f t="shared" si="3"/>
        <v>338976.17550794355</v>
      </c>
      <c r="AC54" s="355">
        <f t="shared" si="3"/>
        <v>355907.18803412659</v>
      </c>
    </row>
    <row r="55" spans="1:29" ht="25.5" customHeight="1" x14ac:dyDescent="0.15">
      <c r="A55" s="230"/>
      <c r="B55" s="351" t="str">
        <f>$B33</f>
        <v xml:space="preserve">Jährliche Energieeinspeisung </v>
      </c>
      <c r="C55" s="364">
        <f>C33</f>
        <v>30203</v>
      </c>
      <c r="D55" s="353"/>
      <c r="E55" s="354">
        <f t="shared" ref="E55:AC55" si="4">$C$55*(1-$L$13/100)^E41*$C$46</f>
        <v>1208.0595940000001</v>
      </c>
      <c r="F55" s="354">
        <f t="shared" si="4"/>
        <v>1207.9991910203</v>
      </c>
      <c r="G55" s="354">
        <f t="shared" si="4"/>
        <v>1207.9387910607491</v>
      </c>
      <c r="H55" s="354">
        <f t="shared" si="4"/>
        <v>1207.8783941211959</v>
      </c>
      <c r="I55" s="354">
        <f t="shared" si="4"/>
        <v>1207.8180002014899</v>
      </c>
      <c r="J55" s="354">
        <f t="shared" si="4"/>
        <v>1207.7576093014798</v>
      </c>
      <c r="K55" s="354">
        <f t="shared" si="4"/>
        <v>1207.6972214210148</v>
      </c>
      <c r="L55" s="354">
        <f t="shared" si="4"/>
        <v>1207.6368365599437</v>
      </c>
      <c r="M55" s="354">
        <f t="shared" si="4"/>
        <v>1207.5764547181157</v>
      </c>
      <c r="N55" s="354">
        <f t="shared" si="4"/>
        <v>1207.5160758953798</v>
      </c>
      <c r="O55" s="354">
        <f t="shared" si="4"/>
        <v>1207.455700091585</v>
      </c>
      <c r="P55" s="354">
        <f t="shared" si="4"/>
        <v>1207.3953273065804</v>
      </c>
      <c r="Q55" s="354">
        <f t="shared" si="4"/>
        <v>1207.3349575402151</v>
      </c>
      <c r="R55" s="354">
        <f t="shared" si="4"/>
        <v>1207.2745907923379</v>
      </c>
      <c r="S55" s="354">
        <f t="shared" si="4"/>
        <v>1207.2142270627985</v>
      </c>
      <c r="T55" s="354">
        <f t="shared" si="4"/>
        <v>1207.1538663514455</v>
      </c>
      <c r="U55" s="354">
        <f t="shared" si="4"/>
        <v>1207.0935086581278</v>
      </c>
      <c r="V55" s="354">
        <f t="shared" si="4"/>
        <v>1207.033153982695</v>
      </c>
      <c r="W55" s="354">
        <f t="shared" si="4"/>
        <v>1206.9728023249957</v>
      </c>
      <c r="X55" s="354">
        <f t="shared" si="4"/>
        <v>1206.9124536848794</v>
      </c>
      <c r="Y55" s="354">
        <f t="shared" si="4"/>
        <v>1206.8521080621952</v>
      </c>
      <c r="Z55" s="354">
        <f t="shared" si="4"/>
        <v>1206.7917654567921</v>
      </c>
      <c r="AA55" s="354">
        <f t="shared" si="4"/>
        <v>1206.7314258685194</v>
      </c>
      <c r="AB55" s="354">
        <f t="shared" si="4"/>
        <v>1206.6710892972258</v>
      </c>
      <c r="AC55" s="355">
        <f t="shared" si="4"/>
        <v>1206.6107557427611</v>
      </c>
    </row>
    <row r="56" spans="1:29" ht="25.5" customHeight="1" x14ac:dyDescent="0.15">
      <c r="A56" s="230"/>
      <c r="B56" s="356"/>
      <c r="C56" s="357"/>
      <c r="D56" s="358">
        <f>C56</f>
        <v>0</v>
      </c>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60"/>
    </row>
    <row r="57" spans="1:29" ht="25.5" customHeight="1" x14ac:dyDescent="0.15">
      <c r="A57" s="230"/>
      <c r="B57" s="328" t="s">
        <v>160</v>
      </c>
      <c r="C57" s="365"/>
      <c r="D57" s="361">
        <f t="shared" ref="D57:AC57" si="5">(SUM(D50:D52)+SUM(D54:D56))*D48</f>
        <v>-826400</v>
      </c>
      <c r="E57" s="362">
        <f t="shared" si="5"/>
        <v>107749.16692240001</v>
      </c>
      <c r="F57" s="362">
        <f t="shared" si="5"/>
        <v>113109.82927070555</v>
      </c>
      <c r="G57" s="362">
        <f t="shared" si="5"/>
        <v>118739.81675337111</v>
      </c>
      <c r="H57" s="362">
        <f t="shared" si="5"/>
        <v>124652.64430466286</v>
      </c>
      <c r="I57" s="362">
        <f t="shared" si="5"/>
        <v>130862.50440871708</v>
      </c>
      <c r="J57" s="362">
        <f t="shared" si="5"/>
        <v>137384.30104196983</v>
      </c>
      <c r="K57" s="362">
        <f t="shared" si="5"/>
        <v>144233.68531494658</v>
      </c>
      <c r="L57" s="362">
        <f t="shared" si="5"/>
        <v>151427.09289845097</v>
      </c>
      <c r="M57" s="362">
        <f t="shared" si="5"/>
        <v>158981.78332344713</v>
      </c>
      <c r="N57" s="362">
        <f t="shared" si="5"/>
        <v>166915.88124839441</v>
      </c>
      <c r="O57" s="362">
        <f t="shared" si="5"/>
        <v>175248.41979248601</v>
      </c>
      <c r="P57" s="362">
        <f t="shared" si="5"/>
        <v>183999.38603816545</v>
      </c>
      <c r="Q57" s="362">
        <f t="shared" si="5"/>
        <v>193189.76881146771</v>
      </c>
      <c r="R57" s="362">
        <f t="shared" si="5"/>
        <v>202841.60885415834</v>
      </c>
      <c r="S57" s="362">
        <f t="shared" si="5"/>
        <v>212978.0515073486</v>
      </c>
      <c r="T57" s="362">
        <f t="shared" si="5"/>
        <v>223623.40203224664</v>
      </c>
      <c r="U57" s="362">
        <f t="shared" si="5"/>
        <v>234803.18369999382</v>
      </c>
      <c r="V57" s="362">
        <f t="shared" si="5"/>
        <v>246544.19878913154</v>
      </c>
      <c r="W57" s="362">
        <f t="shared" si="5"/>
        <v>258874.59263617604</v>
      </c>
      <c r="X57" s="362">
        <f t="shared" si="5"/>
        <v>271823.92089205346</v>
      </c>
      <c r="Y57" s="362">
        <f t="shared" si="5"/>
        <v>0</v>
      </c>
      <c r="Z57" s="362">
        <f t="shared" si="5"/>
        <v>0</v>
      </c>
      <c r="AA57" s="362">
        <f t="shared" si="5"/>
        <v>0</v>
      </c>
      <c r="AB57" s="362">
        <f t="shared" si="5"/>
        <v>0</v>
      </c>
      <c r="AC57" s="363">
        <f t="shared" si="5"/>
        <v>0</v>
      </c>
    </row>
    <row r="58" spans="1:29" ht="25.5" customHeight="1" x14ac:dyDescent="0.15">
      <c r="A58" s="230"/>
      <c r="B58" s="342" t="s">
        <v>161</v>
      </c>
      <c r="C58" s="366"/>
      <c r="D58" s="358">
        <f>(D57)/(1+$C$42)^D41</f>
        <v>-826400</v>
      </c>
      <c r="E58" s="359">
        <f t="shared" ref="E58:AC58" si="6">E57/(1+$C$42)^E41</f>
        <v>105121.13846087806</v>
      </c>
      <c r="F58" s="359">
        <f t="shared" si="6"/>
        <v>107659.56385076079</v>
      </c>
      <c r="G58" s="359">
        <f t="shared" si="6"/>
        <v>110261.72388989934</v>
      </c>
      <c r="H58" s="359">
        <f t="shared" si="6"/>
        <v>112929.14348380383</v>
      </c>
      <c r="I58" s="359">
        <f t="shared" si="6"/>
        <v>115663.38560896394</v>
      </c>
      <c r="J58" s="359">
        <f t="shared" si="6"/>
        <v>118466.05222066506</v>
      </c>
      <c r="K58" s="359">
        <f t="shared" si="6"/>
        <v>121338.78518342643</v>
      </c>
      <c r="L58" s="359">
        <f t="shared" si="6"/>
        <v>124283.26722459913</v>
      </c>
      <c r="M58" s="359">
        <f t="shared" si="6"/>
        <v>127301.22291167732</v>
      </c>
      <c r="N58" s="359">
        <f t="shared" si="6"/>
        <v>130394.41965388697</v>
      </c>
      <c r="O58" s="359">
        <f t="shared" si="6"/>
        <v>133564.66872863352</v>
      </c>
      <c r="P58" s="359">
        <f t="shared" si="6"/>
        <v>136813.82633340149</v>
      </c>
      <c r="Q58" s="359">
        <f t="shared" si="6"/>
        <v>140143.79466371649</v>
      </c>
      <c r="R58" s="359">
        <f t="shared" si="6"/>
        <v>143556.52301779226</v>
      </c>
      <c r="S58" s="359">
        <f t="shared" si="6"/>
        <v>147054.00892850364</v>
      </c>
      <c r="T58" s="359">
        <f t="shared" si="6"/>
        <v>150638.29932334006</v>
      </c>
      <c r="U58" s="359">
        <f t="shared" si="6"/>
        <v>154311.49171301172</v>
      </c>
      <c r="V58" s="359">
        <f t="shared" si="6"/>
        <v>158075.73540939623</v>
      </c>
      <c r="W58" s="359">
        <f t="shared" si="6"/>
        <v>161933.23277353161</v>
      </c>
      <c r="X58" s="359">
        <f t="shared" si="6"/>
        <v>165886.24049437759</v>
      </c>
      <c r="Y58" s="359">
        <f t="shared" si="6"/>
        <v>0</v>
      </c>
      <c r="Z58" s="359">
        <f t="shared" si="6"/>
        <v>0</v>
      </c>
      <c r="AA58" s="359">
        <f t="shared" si="6"/>
        <v>0</v>
      </c>
      <c r="AB58" s="359">
        <f t="shared" si="6"/>
        <v>0</v>
      </c>
      <c r="AC58" s="360">
        <f t="shared" si="6"/>
        <v>0</v>
      </c>
    </row>
    <row r="59" spans="1:29" ht="43.75" customHeight="1" x14ac:dyDescent="0.15">
      <c r="A59" s="230"/>
      <c r="B59" s="367" t="s">
        <v>103</v>
      </c>
      <c r="C59" s="325"/>
      <c r="D59" s="368">
        <f>SUM(D58)</f>
        <v>-826400</v>
      </c>
      <c r="E59" s="368">
        <f>SUM($D$58:E58)</f>
        <v>-721278.86153912195</v>
      </c>
      <c r="F59" s="368">
        <f>SUM($D$58:F58)</f>
        <v>-613619.29768836114</v>
      </c>
      <c r="G59" s="368">
        <f>SUM($D$58:G58)</f>
        <v>-503357.57379846182</v>
      </c>
      <c r="H59" s="368">
        <f>SUM($D$58:H58)</f>
        <v>-390428.43031465798</v>
      </c>
      <c r="I59" s="368">
        <f>SUM($D$58:I58)</f>
        <v>-274765.04470569402</v>
      </c>
      <c r="J59" s="368">
        <f>SUM($D$58:J58)</f>
        <v>-156298.99248502895</v>
      </c>
      <c r="K59" s="368">
        <f>SUM($D$58:K58)</f>
        <v>-34960.207301602524</v>
      </c>
      <c r="L59" s="368">
        <f>SUM($D$58:L58)</f>
        <v>89323.059922996603</v>
      </c>
      <c r="M59" s="368">
        <f>SUM($D$58:M58)</f>
        <v>216624.28283467394</v>
      </c>
      <c r="N59" s="368">
        <f>SUM($D$58:N58)</f>
        <v>347018.70248856093</v>
      </c>
      <c r="O59" s="368">
        <f>SUM($D$58:O58)</f>
        <v>480583.37121719448</v>
      </c>
      <c r="P59" s="368">
        <f>SUM($D$58:P58)</f>
        <v>617397.19755059597</v>
      </c>
      <c r="Q59" s="368">
        <f>SUM($D$58:Q58)</f>
        <v>757540.99221431243</v>
      </c>
      <c r="R59" s="368">
        <f>SUM($D$58:R58)</f>
        <v>901097.51523210469</v>
      </c>
      <c r="S59" s="368">
        <f>SUM($D$58:S58)</f>
        <v>1048151.5241606083</v>
      </c>
      <c r="T59" s="368">
        <f>SUM($D$58:T58)</f>
        <v>1198789.8234839484</v>
      </c>
      <c r="U59" s="368">
        <f>SUM($D$58:U58)</f>
        <v>1353101.31519696</v>
      </c>
      <c r="V59" s="368">
        <f>SUM($D$58:V58)</f>
        <v>1511177.0506063562</v>
      </c>
      <c r="W59" s="368">
        <f>SUM($D$58:W58)</f>
        <v>1673110.2833798879</v>
      </c>
      <c r="X59" s="368">
        <f>SUM($D$58:X58)</f>
        <v>1838996.5238742656</v>
      </c>
      <c r="Y59" s="368">
        <f>SUM($D$58:Y58)</f>
        <v>1838996.5238742656</v>
      </c>
      <c r="Z59" s="368">
        <f>SUM($D$58:Z58)</f>
        <v>1838996.5238742656</v>
      </c>
      <c r="AA59" s="368">
        <f>SUM($D$58:AA58)</f>
        <v>1838996.5238742656</v>
      </c>
      <c r="AB59" s="368">
        <f>SUM($D$58:AB58)</f>
        <v>1838996.5238742656</v>
      </c>
      <c r="AC59" s="369">
        <f>SUM($D$58:AC58)</f>
        <v>1838996.5238742656</v>
      </c>
    </row>
    <row r="60" spans="1:29" ht="25.5" customHeight="1" x14ac:dyDescent="0.15">
      <c r="A60" s="230"/>
      <c r="B60" s="367" t="s">
        <v>162</v>
      </c>
      <c r="C60" s="370"/>
      <c r="D60" s="371">
        <f>SUM(D58:AC58)</f>
        <v>1838996.5238742656</v>
      </c>
      <c r="E60" s="368"/>
      <c r="F60" s="368"/>
      <c r="G60" s="368"/>
      <c r="H60" s="368"/>
      <c r="I60" s="368"/>
      <c r="J60" s="368"/>
      <c r="K60" s="368"/>
      <c r="L60" s="368"/>
      <c r="M60" s="368"/>
      <c r="N60" s="368"/>
      <c r="O60" s="368"/>
      <c r="P60" s="368"/>
      <c r="Q60" s="368"/>
      <c r="R60" s="368"/>
      <c r="S60" s="368"/>
      <c r="T60" s="368"/>
      <c r="U60" s="368"/>
      <c r="V60" s="368"/>
      <c r="W60" s="368"/>
      <c r="X60" s="368"/>
      <c r="Y60" s="368"/>
      <c r="Z60" s="368"/>
      <c r="AA60" s="368"/>
      <c r="AB60" s="368"/>
      <c r="AC60" s="369"/>
    </row>
    <row r="61" spans="1:29" ht="24.5" customHeight="1" x14ac:dyDescent="0.15">
      <c r="A61" s="220"/>
      <c r="B61" s="221"/>
      <c r="C61" s="372"/>
      <c r="D61" s="373"/>
      <c r="E61" s="373"/>
      <c r="F61" s="373"/>
      <c r="G61" s="373"/>
      <c r="H61" s="373"/>
      <c r="I61" s="373"/>
      <c r="J61" s="373"/>
      <c r="K61" s="373"/>
      <c r="L61" s="373"/>
      <c r="M61" s="373"/>
      <c r="N61" s="373"/>
      <c r="O61" s="373"/>
      <c r="P61" s="373"/>
      <c r="Q61" s="373"/>
      <c r="R61" s="373"/>
      <c r="S61" s="373"/>
      <c r="T61" s="373"/>
      <c r="U61" s="373"/>
      <c r="V61" s="373"/>
      <c r="W61" s="373"/>
      <c r="X61" s="373"/>
      <c r="Y61" s="373"/>
      <c r="Z61" s="373"/>
      <c r="AA61" s="373"/>
      <c r="AB61" s="373"/>
      <c r="AC61" s="374"/>
    </row>
    <row r="62" spans="1:29" ht="24.5" customHeight="1" x14ac:dyDescent="0.15">
      <c r="A62" s="220"/>
      <c r="B62" s="227" t="s">
        <v>163</v>
      </c>
      <c r="C62" s="375"/>
      <c r="D62" s="376"/>
      <c r="E62" s="376"/>
      <c r="F62" s="376"/>
      <c r="G62" s="376"/>
      <c r="H62" s="376"/>
      <c r="I62" s="376"/>
      <c r="J62" s="376"/>
      <c r="K62" s="376"/>
      <c r="L62" s="376"/>
      <c r="M62" s="376"/>
      <c r="N62" s="376"/>
      <c r="O62" s="376"/>
      <c r="P62" s="376"/>
      <c r="Q62" s="376"/>
      <c r="R62" s="376"/>
      <c r="S62" s="376"/>
      <c r="T62" s="376"/>
      <c r="U62" s="376"/>
      <c r="V62" s="376"/>
      <c r="W62" s="376"/>
      <c r="X62" s="376"/>
      <c r="Y62" s="376"/>
      <c r="Z62" s="376"/>
      <c r="AA62" s="376"/>
      <c r="AB62" s="376"/>
      <c r="AC62" s="377"/>
    </row>
    <row r="63" spans="1:29" ht="25.5" customHeight="1" x14ac:dyDescent="0.15">
      <c r="A63" s="230"/>
      <c r="B63" s="324" t="s">
        <v>151</v>
      </c>
      <c r="C63" s="325"/>
      <c r="D63" s="326">
        <v>0</v>
      </c>
      <c r="E63" s="326">
        <v>1</v>
      </c>
      <c r="F63" s="326">
        <v>2</v>
      </c>
      <c r="G63" s="326">
        <v>3</v>
      </c>
      <c r="H63" s="326">
        <v>4</v>
      </c>
      <c r="I63" s="326">
        <v>5</v>
      </c>
      <c r="J63" s="326">
        <v>6</v>
      </c>
      <c r="K63" s="326">
        <v>7</v>
      </c>
      <c r="L63" s="326">
        <v>8</v>
      </c>
      <c r="M63" s="326">
        <v>9</v>
      </c>
      <c r="N63" s="326">
        <v>10</v>
      </c>
      <c r="O63" s="326">
        <v>11</v>
      </c>
      <c r="P63" s="326">
        <v>12</v>
      </c>
      <c r="Q63" s="326">
        <v>13</v>
      </c>
      <c r="R63" s="326">
        <v>14</v>
      </c>
      <c r="S63" s="326">
        <v>15</v>
      </c>
      <c r="T63" s="326">
        <v>16</v>
      </c>
      <c r="U63" s="326">
        <v>17</v>
      </c>
      <c r="V63" s="326">
        <v>18</v>
      </c>
      <c r="W63" s="326">
        <v>19</v>
      </c>
      <c r="X63" s="326">
        <v>20</v>
      </c>
      <c r="Y63" s="326">
        <v>21</v>
      </c>
      <c r="Z63" s="326">
        <v>22</v>
      </c>
      <c r="AA63" s="326">
        <v>23</v>
      </c>
      <c r="AB63" s="326">
        <v>24</v>
      </c>
      <c r="AC63" s="327">
        <v>25</v>
      </c>
    </row>
    <row r="64" spans="1:29" ht="25.5" customHeight="1" x14ac:dyDescent="0.15">
      <c r="A64" s="230"/>
      <c r="B64" s="328" t="s">
        <v>152</v>
      </c>
      <c r="C64" s="378">
        <f>D37</f>
        <v>0.03</v>
      </c>
      <c r="D64" s="330"/>
      <c r="E64" s="331"/>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332"/>
    </row>
    <row r="65" spans="1:29" ht="25.5" customHeight="1" x14ac:dyDescent="0.15">
      <c r="A65" s="230"/>
      <c r="B65" s="333" t="s">
        <v>153</v>
      </c>
      <c r="C65" s="379">
        <f>D34</f>
        <v>0.03</v>
      </c>
      <c r="D65" s="335"/>
      <c r="E65" s="336"/>
      <c r="F65" s="429"/>
      <c r="G65" s="417"/>
      <c r="H65" s="417"/>
      <c r="I65" s="417"/>
      <c r="J65" s="417"/>
      <c r="K65" s="417"/>
      <c r="L65" s="417"/>
      <c r="M65" s="417"/>
      <c r="N65" s="336"/>
      <c r="O65" s="336"/>
      <c r="P65" s="336"/>
      <c r="Q65" s="336"/>
      <c r="R65" s="336"/>
      <c r="S65" s="336"/>
      <c r="T65" s="336"/>
      <c r="U65" s="336"/>
      <c r="V65" s="336"/>
      <c r="W65" s="336"/>
      <c r="X65" s="336"/>
      <c r="Y65" s="336"/>
      <c r="Z65" s="336"/>
      <c r="AA65" s="336"/>
      <c r="AB65" s="336"/>
      <c r="AC65" s="338"/>
    </row>
    <row r="66" spans="1:29" ht="25.5" customHeight="1" x14ac:dyDescent="0.15">
      <c r="A66" s="230"/>
      <c r="B66" s="333" t="s">
        <v>154</v>
      </c>
      <c r="C66" s="379">
        <f>D35</f>
        <v>0.06</v>
      </c>
      <c r="D66" s="335"/>
      <c r="E66" s="336"/>
      <c r="F66" s="417"/>
      <c r="G66" s="417"/>
      <c r="H66" s="417"/>
      <c r="I66" s="417"/>
      <c r="J66" s="417"/>
      <c r="K66" s="417"/>
      <c r="L66" s="417"/>
      <c r="M66" s="417"/>
      <c r="N66" s="336"/>
      <c r="O66" s="336"/>
      <c r="P66" s="336"/>
      <c r="Q66" s="336"/>
      <c r="R66" s="336"/>
      <c r="S66" s="336"/>
      <c r="T66" s="336"/>
      <c r="U66" s="336"/>
      <c r="V66" s="336"/>
      <c r="W66" s="336"/>
      <c r="X66" s="336"/>
      <c r="Y66" s="336"/>
      <c r="Z66" s="336"/>
      <c r="AA66" s="336"/>
      <c r="AB66" s="336"/>
      <c r="AC66" s="338"/>
    </row>
    <row r="67" spans="1:29" ht="25.5" customHeight="1" x14ac:dyDescent="0.15">
      <c r="A67" s="230"/>
      <c r="B67" s="333" t="s">
        <v>155</v>
      </c>
      <c r="C67" s="380">
        <f>C45</f>
        <v>0.16800000000000001</v>
      </c>
      <c r="D67" s="335"/>
      <c r="E67" s="336"/>
      <c r="F67" s="417"/>
      <c r="G67" s="417"/>
      <c r="H67" s="417"/>
      <c r="I67" s="417"/>
      <c r="J67" s="417"/>
      <c r="K67" s="417"/>
      <c r="L67" s="417"/>
      <c r="M67" s="417"/>
      <c r="N67" s="336"/>
      <c r="O67" s="336"/>
      <c r="P67" s="336"/>
      <c r="Q67" s="336"/>
      <c r="R67" s="336"/>
      <c r="S67" s="336"/>
      <c r="T67" s="336"/>
      <c r="U67" s="336"/>
      <c r="V67" s="336"/>
      <c r="W67" s="336"/>
      <c r="X67" s="336"/>
      <c r="Y67" s="336"/>
      <c r="Z67" s="336"/>
      <c r="AA67" s="336"/>
      <c r="AB67" s="336"/>
      <c r="AC67" s="338"/>
    </row>
    <row r="68" spans="1:29" ht="25.5" customHeight="1" x14ac:dyDescent="0.15">
      <c r="A68" s="230"/>
      <c r="B68" s="381" t="s">
        <v>156</v>
      </c>
      <c r="C68" s="382">
        <f>C46</f>
        <v>0.04</v>
      </c>
      <c r="D68" s="335"/>
      <c r="E68" s="336"/>
      <c r="F68" s="223"/>
      <c r="G68" s="223"/>
      <c r="H68" s="223"/>
      <c r="I68" s="223"/>
      <c r="J68" s="223"/>
      <c r="K68" s="223"/>
      <c r="L68" s="223"/>
      <c r="M68" s="223"/>
      <c r="N68" s="223"/>
      <c r="O68" s="223"/>
      <c r="P68" s="223"/>
      <c r="Q68" s="223"/>
      <c r="R68" s="223"/>
      <c r="S68" s="223"/>
      <c r="T68" s="223"/>
      <c r="U68" s="223"/>
      <c r="V68" s="223"/>
      <c r="W68" s="223"/>
      <c r="X68" s="223"/>
      <c r="Y68" s="223"/>
      <c r="Z68" s="223"/>
      <c r="AA68" s="223"/>
      <c r="AB68" s="223"/>
      <c r="AC68" s="341"/>
    </row>
    <row r="69" spans="1:29" ht="25.5" customHeight="1" x14ac:dyDescent="0.15">
      <c r="A69" s="230"/>
      <c r="B69" s="333" t="s">
        <v>157</v>
      </c>
      <c r="C69" s="383">
        <f>D36</f>
        <v>20</v>
      </c>
      <c r="D69" s="335"/>
      <c r="E69" s="336"/>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341"/>
    </row>
    <row r="70" spans="1:29" ht="25.5" customHeight="1" x14ac:dyDescent="0.15">
      <c r="A70" s="230"/>
      <c r="B70" s="342" t="s">
        <v>94</v>
      </c>
      <c r="C70" s="343"/>
      <c r="D70" s="344">
        <f t="shared" ref="D70:AC70" si="7">IF($C69&gt;=D63,1,0)</f>
        <v>1</v>
      </c>
      <c r="E70" s="345">
        <f t="shared" si="7"/>
        <v>1</v>
      </c>
      <c r="F70" s="345">
        <f t="shared" si="7"/>
        <v>1</v>
      </c>
      <c r="G70" s="345">
        <f t="shared" si="7"/>
        <v>1</v>
      </c>
      <c r="H70" s="345">
        <f t="shared" si="7"/>
        <v>1</v>
      </c>
      <c r="I70" s="345">
        <f t="shared" si="7"/>
        <v>1</v>
      </c>
      <c r="J70" s="345">
        <f t="shared" si="7"/>
        <v>1</v>
      </c>
      <c r="K70" s="345">
        <f t="shared" si="7"/>
        <v>1</v>
      </c>
      <c r="L70" s="345">
        <f t="shared" si="7"/>
        <v>1</v>
      </c>
      <c r="M70" s="345">
        <f t="shared" si="7"/>
        <v>1</v>
      </c>
      <c r="N70" s="345">
        <f t="shared" si="7"/>
        <v>1</v>
      </c>
      <c r="O70" s="345">
        <f t="shared" si="7"/>
        <v>1</v>
      </c>
      <c r="P70" s="345">
        <f t="shared" si="7"/>
        <v>1</v>
      </c>
      <c r="Q70" s="345">
        <f t="shared" si="7"/>
        <v>1</v>
      </c>
      <c r="R70" s="345">
        <f t="shared" si="7"/>
        <v>1</v>
      </c>
      <c r="S70" s="345">
        <f t="shared" si="7"/>
        <v>1</v>
      </c>
      <c r="T70" s="345">
        <f t="shared" si="7"/>
        <v>1</v>
      </c>
      <c r="U70" s="345">
        <f t="shared" si="7"/>
        <v>1</v>
      </c>
      <c r="V70" s="345">
        <f t="shared" si="7"/>
        <v>1</v>
      </c>
      <c r="W70" s="345">
        <f t="shared" si="7"/>
        <v>1</v>
      </c>
      <c r="X70" s="345">
        <f t="shared" si="7"/>
        <v>1</v>
      </c>
      <c r="Y70" s="345">
        <f t="shared" si="7"/>
        <v>0</v>
      </c>
      <c r="Z70" s="345">
        <f t="shared" si="7"/>
        <v>0</v>
      </c>
      <c r="AA70" s="345">
        <f t="shared" si="7"/>
        <v>0</v>
      </c>
      <c r="AB70" s="345">
        <f t="shared" si="7"/>
        <v>0</v>
      </c>
      <c r="AC70" s="346">
        <f t="shared" si="7"/>
        <v>0</v>
      </c>
    </row>
    <row r="71" spans="1:29" ht="25.5" customHeight="1" x14ac:dyDescent="0.15">
      <c r="A71" s="230"/>
      <c r="B71" s="328" t="s">
        <v>158</v>
      </c>
      <c r="C71" s="347" t="s">
        <v>96</v>
      </c>
      <c r="D71" s="348"/>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50"/>
    </row>
    <row r="72" spans="1:29" ht="25.5" customHeight="1" x14ac:dyDescent="0.15">
      <c r="A72" s="230"/>
      <c r="B72" s="333" t="str">
        <f>$B50</f>
        <v>Investitionsauszahlung komplett</v>
      </c>
      <c r="C72" s="384">
        <f>D28</f>
        <v>991680</v>
      </c>
      <c r="D72" s="353">
        <f>-C72</f>
        <v>-991680</v>
      </c>
      <c r="E72" s="354"/>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5"/>
    </row>
    <row r="73" spans="1:29" ht="25.5" customHeight="1" x14ac:dyDescent="0.15">
      <c r="A73" s="230"/>
      <c r="B73" s="333" t="str">
        <f>$B51</f>
        <v>Jahresbetriebskosten</v>
      </c>
      <c r="C73" s="385">
        <f>D30</f>
        <v>4554</v>
      </c>
      <c r="D73" s="353"/>
      <c r="E73" s="354">
        <f t="shared" ref="E73:AC73" si="8">-$C$73*(1+$C$66)^E63</f>
        <v>-4827.2400000000007</v>
      </c>
      <c r="F73" s="354">
        <f t="shared" si="8"/>
        <v>-5116.8744000000006</v>
      </c>
      <c r="G73" s="354">
        <f t="shared" si="8"/>
        <v>-5423.886864000001</v>
      </c>
      <c r="H73" s="354">
        <f t="shared" si="8"/>
        <v>-5749.3200758400017</v>
      </c>
      <c r="I73" s="354">
        <f t="shared" si="8"/>
        <v>-6094.2792803904022</v>
      </c>
      <c r="J73" s="354">
        <f t="shared" si="8"/>
        <v>-6459.9360372138262</v>
      </c>
      <c r="K73" s="354">
        <f t="shared" si="8"/>
        <v>-6847.5321994466576</v>
      </c>
      <c r="L73" s="354">
        <f t="shared" si="8"/>
        <v>-7258.3841314134561</v>
      </c>
      <c r="M73" s="354">
        <f t="shared" si="8"/>
        <v>-7693.8871792982636</v>
      </c>
      <c r="N73" s="354">
        <f t="shared" si="8"/>
        <v>-8155.5204100561596</v>
      </c>
      <c r="O73" s="354">
        <f t="shared" si="8"/>
        <v>-8644.8516346595316</v>
      </c>
      <c r="P73" s="354">
        <f t="shared" si="8"/>
        <v>-9163.5427327391026</v>
      </c>
      <c r="Q73" s="354">
        <f t="shared" si="8"/>
        <v>-9713.3552967034502</v>
      </c>
      <c r="R73" s="354">
        <f t="shared" si="8"/>
        <v>-10296.156614505657</v>
      </c>
      <c r="S73" s="354">
        <f t="shared" si="8"/>
        <v>-10913.926011375999</v>
      </c>
      <c r="T73" s="354">
        <f t="shared" si="8"/>
        <v>-11568.761572058556</v>
      </c>
      <c r="U73" s="354">
        <f t="shared" si="8"/>
        <v>-12262.887266382071</v>
      </c>
      <c r="V73" s="354">
        <f t="shared" si="8"/>
        <v>-12998.660502364995</v>
      </c>
      <c r="W73" s="354">
        <f t="shared" si="8"/>
        <v>-13778.580132506897</v>
      </c>
      <c r="X73" s="354">
        <f t="shared" si="8"/>
        <v>-14605.29494045731</v>
      </c>
      <c r="Y73" s="354">
        <f t="shared" si="8"/>
        <v>-15481.612636884751</v>
      </c>
      <c r="Z73" s="354">
        <f t="shared" si="8"/>
        <v>-16410.509395097837</v>
      </c>
      <c r="AA73" s="354">
        <f t="shared" si="8"/>
        <v>-17395.139958803709</v>
      </c>
      <c r="AB73" s="354">
        <f t="shared" si="8"/>
        <v>-18438.848356331931</v>
      </c>
      <c r="AC73" s="355">
        <f t="shared" si="8"/>
        <v>-19545.179257711847</v>
      </c>
    </row>
    <row r="74" spans="1:29" ht="25.5" customHeight="1" x14ac:dyDescent="0.15">
      <c r="A74" s="230"/>
      <c r="B74" s="386">
        <f>$B52</f>
        <v>0</v>
      </c>
      <c r="C74" s="387"/>
      <c r="D74" s="358">
        <f>-C74</f>
        <v>0</v>
      </c>
      <c r="E74" s="359"/>
      <c r="F74" s="359"/>
      <c r="G74" s="359"/>
      <c r="H74" s="359"/>
      <c r="I74" s="359"/>
      <c r="J74" s="359"/>
      <c r="K74" s="359"/>
      <c r="L74" s="359"/>
      <c r="M74" s="359"/>
      <c r="N74" s="359"/>
      <c r="O74" s="359"/>
      <c r="P74" s="359"/>
      <c r="Q74" s="359"/>
      <c r="R74" s="359"/>
      <c r="S74" s="359"/>
      <c r="T74" s="359"/>
      <c r="U74" s="359"/>
      <c r="V74" s="359"/>
      <c r="W74" s="359"/>
      <c r="X74" s="359"/>
      <c r="Y74" s="359"/>
      <c r="Z74" s="359"/>
      <c r="AA74" s="359"/>
      <c r="AB74" s="359"/>
      <c r="AC74" s="360"/>
    </row>
    <row r="75" spans="1:29" ht="25.5" customHeight="1" x14ac:dyDescent="0.15">
      <c r="A75" s="230"/>
      <c r="B75" s="328" t="s">
        <v>159</v>
      </c>
      <c r="C75" s="347" t="s">
        <v>96</v>
      </c>
      <c r="D75" s="361"/>
      <c r="E75" s="362"/>
      <c r="F75" s="362"/>
      <c r="G75" s="362"/>
      <c r="H75" s="362"/>
      <c r="I75" s="362"/>
      <c r="J75" s="362"/>
      <c r="K75" s="362"/>
      <c r="L75" s="362"/>
      <c r="M75" s="362"/>
      <c r="N75" s="362"/>
      <c r="O75" s="362"/>
      <c r="P75" s="362"/>
      <c r="Q75" s="362"/>
      <c r="R75" s="362"/>
      <c r="S75" s="362"/>
      <c r="T75" s="362"/>
      <c r="U75" s="362"/>
      <c r="V75" s="362"/>
      <c r="W75" s="362"/>
      <c r="X75" s="362"/>
      <c r="Y75" s="362"/>
      <c r="Z75" s="362"/>
      <c r="AA75" s="362"/>
      <c r="AB75" s="362"/>
      <c r="AC75" s="363"/>
    </row>
    <row r="76" spans="1:29" ht="25.5" customHeight="1" x14ac:dyDescent="0.15">
      <c r="A76" s="230"/>
      <c r="B76" s="333" t="str">
        <f>$B54</f>
        <v xml:space="preserve">Jährliche Energieeinsparung </v>
      </c>
      <c r="C76" s="364">
        <f>D32</f>
        <v>459608</v>
      </c>
      <c r="D76" s="353"/>
      <c r="E76" s="354">
        <f t="shared" ref="E76:AC76" si="9">$C76*(1-$L$12/100)^E63*$C67*(1+$C65)^E63</f>
        <v>79526.591791583996</v>
      </c>
      <c r="F76" s="354">
        <f t="shared" si="9"/>
        <v>81908.293925854246</v>
      </c>
      <c r="G76" s="354">
        <f t="shared" si="9"/>
        <v>84361.324466492704</v>
      </c>
      <c r="H76" s="354">
        <f t="shared" si="9"/>
        <v>86887.819592277447</v>
      </c>
      <c r="I76" s="354">
        <f t="shared" si="9"/>
        <v>89489.979457336754</v>
      </c>
      <c r="J76" s="354">
        <f t="shared" si="9"/>
        <v>92170.070107114821</v>
      </c>
      <c r="K76" s="354">
        <f t="shared" si="9"/>
        <v>94930.425451717776</v>
      </c>
      <c r="L76" s="354">
        <f t="shared" si="9"/>
        <v>97773.449298358522</v>
      </c>
      <c r="M76" s="354">
        <f t="shared" si="9"/>
        <v>100701.61744467042</v>
      </c>
      <c r="N76" s="354">
        <f t="shared" si="9"/>
        <v>103717.47983471211</v>
      </c>
      <c r="O76" s="354">
        <f t="shared" si="9"/>
        <v>106823.66277954201</v>
      </c>
      <c r="P76" s="354">
        <f t="shared" si="9"/>
        <v>110022.87124429509</v>
      </c>
      <c r="Q76" s="354">
        <f t="shared" si="9"/>
        <v>113317.89120375486</v>
      </c>
      <c r="R76" s="354">
        <f t="shared" si="9"/>
        <v>116711.59206847053</v>
      </c>
      <c r="S76" s="354">
        <f t="shared" si="9"/>
        <v>120206.92918353314</v>
      </c>
      <c r="T76" s="354">
        <f t="shared" si="9"/>
        <v>123806.94640218615</v>
      </c>
      <c r="U76" s="354">
        <f t="shared" si="9"/>
        <v>127514.77873651203</v>
      </c>
      <c r="V76" s="354">
        <f t="shared" si="9"/>
        <v>131333.65508750244</v>
      </c>
      <c r="W76" s="354">
        <f t="shared" si="9"/>
        <v>135266.90105689049</v>
      </c>
      <c r="X76" s="354">
        <f t="shared" si="9"/>
        <v>139317.94184319282</v>
      </c>
      <c r="Y76" s="354">
        <f t="shared" si="9"/>
        <v>143490.30522448363</v>
      </c>
      <c r="Z76" s="354">
        <f t="shared" si="9"/>
        <v>147787.62463049911</v>
      </c>
      <c r="AA76" s="354">
        <f t="shared" si="9"/>
        <v>152213.64230674561</v>
      </c>
      <c r="AB76" s="354">
        <f t="shared" si="9"/>
        <v>156772.21257336915</v>
      </c>
      <c r="AC76" s="355">
        <f t="shared" si="9"/>
        <v>161467.30518162271</v>
      </c>
    </row>
    <row r="77" spans="1:29" ht="25.5" customHeight="1" x14ac:dyDescent="0.15">
      <c r="A77" s="230"/>
      <c r="B77" s="333" t="str">
        <f>$B55</f>
        <v xml:space="preserve">Jährliche Energieeinspeisung </v>
      </c>
      <c r="C77" s="385">
        <f>D33</f>
        <v>196975</v>
      </c>
      <c r="D77" s="353"/>
      <c r="E77" s="354">
        <f t="shared" ref="E77:AC77" si="10">$C77*(1-$L$13/100)^E63*$C$68</f>
        <v>7878.6060500000003</v>
      </c>
      <c r="F77" s="354">
        <f t="shared" si="10"/>
        <v>7878.2121196975004</v>
      </c>
      <c r="G77" s="354">
        <f t="shared" si="10"/>
        <v>7877.8182090915152</v>
      </c>
      <c r="H77" s="354">
        <f t="shared" si="10"/>
        <v>7877.4243181810607</v>
      </c>
      <c r="I77" s="354">
        <f t="shared" si="10"/>
        <v>7877.030446965151</v>
      </c>
      <c r="J77" s="354">
        <f t="shared" si="10"/>
        <v>7876.6365954428029</v>
      </c>
      <c r="K77" s="354">
        <f t="shared" si="10"/>
        <v>7876.2427636130305</v>
      </c>
      <c r="L77" s="354">
        <f t="shared" si="10"/>
        <v>7875.8489514748508</v>
      </c>
      <c r="M77" s="354">
        <f t="shared" si="10"/>
        <v>7875.4551590272777</v>
      </c>
      <c r="N77" s="354">
        <f t="shared" si="10"/>
        <v>7875.0613862693253</v>
      </c>
      <c r="O77" s="354">
        <f t="shared" si="10"/>
        <v>7874.6676332000125</v>
      </c>
      <c r="P77" s="354">
        <f t="shared" si="10"/>
        <v>7874.2738998183513</v>
      </c>
      <c r="Q77" s="354">
        <f t="shared" si="10"/>
        <v>7873.8801861233615</v>
      </c>
      <c r="R77" s="354">
        <f t="shared" si="10"/>
        <v>7873.4864921140543</v>
      </c>
      <c r="S77" s="354">
        <f t="shared" si="10"/>
        <v>7873.0928177894493</v>
      </c>
      <c r="T77" s="354">
        <f t="shared" si="10"/>
        <v>7872.6991631485589</v>
      </c>
      <c r="U77" s="354">
        <f t="shared" si="10"/>
        <v>7872.3055281904026</v>
      </c>
      <c r="V77" s="354">
        <f t="shared" si="10"/>
        <v>7871.9119129139935</v>
      </c>
      <c r="W77" s="354">
        <f t="shared" si="10"/>
        <v>7871.5183173183468</v>
      </c>
      <c r="X77" s="354">
        <f t="shared" si="10"/>
        <v>7871.124741402482</v>
      </c>
      <c r="Y77" s="354">
        <f t="shared" si="10"/>
        <v>7870.7311851654113</v>
      </c>
      <c r="Z77" s="354">
        <f t="shared" si="10"/>
        <v>7870.3376486061525</v>
      </c>
      <c r="AA77" s="354">
        <f t="shared" si="10"/>
        <v>7869.9441317237224</v>
      </c>
      <c r="AB77" s="354">
        <f t="shared" si="10"/>
        <v>7869.550634517137</v>
      </c>
      <c r="AC77" s="355">
        <f t="shared" si="10"/>
        <v>7869.1571569854104</v>
      </c>
    </row>
    <row r="78" spans="1:29" ht="25.5" customHeight="1" x14ac:dyDescent="0.15">
      <c r="A78" s="230"/>
      <c r="B78" s="386">
        <f>$B56</f>
        <v>0</v>
      </c>
      <c r="C78" s="387"/>
      <c r="D78" s="358">
        <f>C78</f>
        <v>0</v>
      </c>
      <c r="E78" s="359"/>
      <c r="F78" s="359"/>
      <c r="G78" s="359"/>
      <c r="H78" s="359"/>
      <c r="I78" s="359"/>
      <c r="J78" s="359"/>
      <c r="K78" s="359"/>
      <c r="L78" s="359"/>
      <c r="M78" s="359"/>
      <c r="N78" s="359"/>
      <c r="O78" s="359"/>
      <c r="P78" s="359"/>
      <c r="Q78" s="359"/>
      <c r="R78" s="359"/>
      <c r="S78" s="359"/>
      <c r="T78" s="359"/>
      <c r="U78" s="359"/>
      <c r="V78" s="359"/>
      <c r="W78" s="359"/>
      <c r="X78" s="359"/>
      <c r="Y78" s="359"/>
      <c r="Z78" s="359"/>
      <c r="AA78" s="359"/>
      <c r="AB78" s="359"/>
      <c r="AC78" s="360"/>
    </row>
    <row r="79" spans="1:29" ht="25.5" customHeight="1" x14ac:dyDescent="0.15">
      <c r="A79" s="230"/>
      <c r="B79" s="328" t="s">
        <v>160</v>
      </c>
      <c r="C79" s="365"/>
      <c r="D79" s="361">
        <f t="shared" ref="D79:AC79" si="11">(SUM(D72:D74)+SUM(D76:D78))*D70</f>
        <v>-991680</v>
      </c>
      <c r="E79" s="362">
        <f t="shared" si="11"/>
        <v>82577.957841583993</v>
      </c>
      <c r="F79" s="362">
        <f t="shared" si="11"/>
        <v>84669.631645551752</v>
      </c>
      <c r="G79" s="362">
        <f t="shared" si="11"/>
        <v>86815.255811584226</v>
      </c>
      <c r="H79" s="362">
        <f t="shared" si="11"/>
        <v>89015.923834618501</v>
      </c>
      <c r="I79" s="362">
        <f t="shared" si="11"/>
        <v>91272.730623911499</v>
      </c>
      <c r="J79" s="362">
        <f t="shared" si="11"/>
        <v>93586.770665343793</v>
      </c>
      <c r="K79" s="362">
        <f t="shared" si="11"/>
        <v>95959.136015884142</v>
      </c>
      <c r="L79" s="362">
        <f t="shared" si="11"/>
        <v>98390.914118419911</v>
      </c>
      <c r="M79" s="362">
        <f t="shared" si="11"/>
        <v>100883.18542439943</v>
      </c>
      <c r="N79" s="362">
        <f t="shared" si="11"/>
        <v>103437.02081092529</v>
      </c>
      <c r="O79" s="362">
        <f t="shared" si="11"/>
        <v>106053.47877808248</v>
      </c>
      <c r="P79" s="362">
        <f t="shared" si="11"/>
        <v>108733.60241137433</v>
      </c>
      <c r="Q79" s="362">
        <f t="shared" si="11"/>
        <v>111478.41609317478</v>
      </c>
      <c r="R79" s="362">
        <f t="shared" si="11"/>
        <v>114288.92194607893</v>
      </c>
      <c r="S79" s="362">
        <f t="shared" si="11"/>
        <v>117166.0959899466</v>
      </c>
      <c r="T79" s="362">
        <f t="shared" si="11"/>
        <v>120110.88399327615</v>
      </c>
      <c r="U79" s="362">
        <f t="shared" si="11"/>
        <v>123124.19699832036</v>
      </c>
      <c r="V79" s="362">
        <f t="shared" si="11"/>
        <v>126206.90649805144</v>
      </c>
      <c r="W79" s="362">
        <f t="shared" si="11"/>
        <v>129359.83924170193</v>
      </c>
      <c r="X79" s="362">
        <f t="shared" si="11"/>
        <v>132583.771644138</v>
      </c>
      <c r="Y79" s="362">
        <f t="shared" si="11"/>
        <v>0</v>
      </c>
      <c r="Z79" s="362">
        <f t="shared" si="11"/>
        <v>0</v>
      </c>
      <c r="AA79" s="362">
        <f t="shared" si="11"/>
        <v>0</v>
      </c>
      <c r="AB79" s="362">
        <f t="shared" si="11"/>
        <v>0</v>
      </c>
      <c r="AC79" s="363">
        <f t="shared" si="11"/>
        <v>0</v>
      </c>
    </row>
    <row r="80" spans="1:29" ht="25.5" customHeight="1" x14ac:dyDescent="0.15">
      <c r="A80" s="230"/>
      <c r="B80" s="342" t="s">
        <v>161</v>
      </c>
      <c r="C80" s="366"/>
      <c r="D80" s="358">
        <f t="shared" ref="D80:AC80" si="12">(D79)/(1+$C$64)^D63</f>
        <v>-991680</v>
      </c>
      <c r="E80" s="359">
        <f t="shared" si="12"/>
        <v>80172.7746034796</v>
      </c>
      <c r="F80" s="359">
        <f t="shared" si="12"/>
        <v>79809.248416958959</v>
      </c>
      <c r="G80" s="359">
        <f t="shared" si="12"/>
        <v>79448.257260582221</v>
      </c>
      <c r="H80" s="359">
        <f t="shared" si="12"/>
        <v>79089.495385308008</v>
      </c>
      <c r="I80" s="359">
        <f t="shared" si="12"/>
        <v>78732.659210915561</v>
      </c>
      <c r="J80" s="359">
        <f t="shared" si="12"/>
        <v>78377.44706608908</v>
      </c>
      <c r="K80" s="359">
        <f t="shared" si="12"/>
        <v>78023.558930357685</v>
      </c>
      <c r="L80" s="359">
        <f t="shared" si="12"/>
        <v>77670.696177670077</v>
      </c>
      <c r="M80" s="359">
        <f t="shared" si="12"/>
        <v>77318.561321384419</v>
      </c>
      <c r="N80" s="359">
        <f t="shared" si="12"/>
        <v>76966.85776045543</v>
      </c>
      <c r="O80" s="359">
        <f t="shared" si="12"/>
        <v>76615.289526602093</v>
      </c>
      <c r="P80" s="359">
        <f t="shared" si="12"/>
        <v>76263.561032240119</v>
      </c>
      <c r="Q80" s="359">
        <f t="shared" si="12"/>
        <v>75911.376818964418</v>
      </c>
      <c r="R80" s="359">
        <f t="shared" si="12"/>
        <v>75558.441306367138</v>
      </c>
      <c r="S80" s="359">
        <f t="shared" si="12"/>
        <v>75204.458540977881</v>
      </c>
      <c r="T80" s="359">
        <f t="shared" si="12"/>
        <v>74849.131945112124</v>
      </c>
      <c r="U80" s="359">
        <f t="shared" si="12"/>
        <v>74492.164065415229</v>
      </c>
      <c r="V80" s="359">
        <f t="shared" si="12"/>
        <v>74133.256320887813</v>
      </c>
      <c r="W80" s="359">
        <f t="shared" si="12"/>
        <v>73772.108750179541</v>
      </c>
      <c r="X80" s="359">
        <f t="shared" si="12"/>
        <v>73408.419757936921</v>
      </c>
      <c r="Y80" s="359">
        <f t="shared" si="12"/>
        <v>0</v>
      </c>
      <c r="Z80" s="359">
        <f t="shared" si="12"/>
        <v>0</v>
      </c>
      <c r="AA80" s="359">
        <f t="shared" si="12"/>
        <v>0</v>
      </c>
      <c r="AB80" s="359">
        <f t="shared" si="12"/>
        <v>0</v>
      </c>
      <c r="AC80" s="360">
        <f t="shared" si="12"/>
        <v>0</v>
      </c>
    </row>
    <row r="81" spans="1:29" ht="25.5" customHeight="1" x14ac:dyDescent="0.15">
      <c r="A81" s="230"/>
      <c r="B81" s="367" t="s">
        <v>162</v>
      </c>
      <c r="C81" s="370"/>
      <c r="D81" s="371">
        <f>SUM(D80:AC80)</f>
        <v>544137.76419788424</v>
      </c>
      <c r="E81" s="368"/>
      <c r="F81" s="368"/>
      <c r="G81" s="368"/>
      <c r="H81" s="368"/>
      <c r="I81" s="368"/>
      <c r="J81" s="368"/>
      <c r="K81" s="368"/>
      <c r="L81" s="368"/>
      <c r="M81" s="368"/>
      <c r="N81" s="368"/>
      <c r="O81" s="368"/>
      <c r="P81" s="368"/>
      <c r="Q81" s="368"/>
      <c r="R81" s="368"/>
      <c r="S81" s="368"/>
      <c r="T81" s="368"/>
      <c r="U81" s="368"/>
      <c r="V81" s="368"/>
      <c r="W81" s="368"/>
      <c r="X81" s="368"/>
      <c r="Y81" s="368"/>
      <c r="Z81" s="368"/>
      <c r="AA81" s="368"/>
      <c r="AB81" s="368"/>
      <c r="AC81" s="369"/>
    </row>
    <row r="82" spans="1:29" ht="24.5" customHeight="1" x14ac:dyDescent="0.15">
      <c r="A82" s="220"/>
      <c r="B82" s="221"/>
      <c r="C82" s="372"/>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3"/>
      <c r="AB82" s="373"/>
      <c r="AC82" s="374"/>
    </row>
    <row r="83" spans="1:29" ht="24.5" customHeight="1" x14ac:dyDescent="0.15">
      <c r="A83" s="220"/>
      <c r="B83" s="227" t="s">
        <v>164</v>
      </c>
      <c r="C83" s="375"/>
      <c r="D83" s="376"/>
      <c r="E83" s="376"/>
      <c r="F83" s="376"/>
      <c r="G83" s="376"/>
      <c r="H83" s="376"/>
      <c r="I83" s="376"/>
      <c r="J83" s="376"/>
      <c r="K83" s="376"/>
      <c r="L83" s="376"/>
      <c r="M83" s="376"/>
      <c r="N83" s="376"/>
      <c r="O83" s="376"/>
      <c r="P83" s="376"/>
      <c r="Q83" s="376"/>
      <c r="R83" s="376"/>
      <c r="S83" s="376"/>
      <c r="T83" s="376"/>
      <c r="U83" s="376"/>
      <c r="V83" s="376"/>
      <c r="W83" s="376"/>
      <c r="X83" s="376"/>
      <c r="Y83" s="376"/>
      <c r="Z83" s="376"/>
      <c r="AA83" s="376"/>
      <c r="AB83" s="376"/>
      <c r="AC83" s="377"/>
    </row>
    <row r="84" spans="1:29" ht="25.5" customHeight="1" x14ac:dyDescent="0.15">
      <c r="A84" s="230"/>
      <c r="B84" s="324" t="s">
        <v>151</v>
      </c>
      <c r="C84" s="325"/>
      <c r="D84" s="326">
        <v>0</v>
      </c>
      <c r="E84" s="326">
        <v>1</v>
      </c>
      <c r="F84" s="326">
        <v>2</v>
      </c>
      <c r="G84" s="326">
        <v>3</v>
      </c>
      <c r="H84" s="326">
        <v>4</v>
      </c>
      <c r="I84" s="326">
        <v>5</v>
      </c>
      <c r="J84" s="326">
        <v>6</v>
      </c>
      <c r="K84" s="326">
        <v>7</v>
      </c>
      <c r="L84" s="326">
        <v>8</v>
      </c>
      <c r="M84" s="326">
        <v>9</v>
      </c>
      <c r="N84" s="326">
        <v>10</v>
      </c>
      <c r="O84" s="326">
        <v>11</v>
      </c>
      <c r="P84" s="326">
        <v>12</v>
      </c>
      <c r="Q84" s="326">
        <v>13</v>
      </c>
      <c r="R84" s="326">
        <v>14</v>
      </c>
      <c r="S84" s="326">
        <v>15</v>
      </c>
      <c r="T84" s="326">
        <v>16</v>
      </c>
      <c r="U84" s="326">
        <v>17</v>
      </c>
      <c r="V84" s="326">
        <v>18</v>
      </c>
      <c r="W84" s="326">
        <v>19</v>
      </c>
      <c r="X84" s="326">
        <v>20</v>
      </c>
      <c r="Y84" s="326">
        <v>21</v>
      </c>
      <c r="Z84" s="326">
        <v>22</v>
      </c>
      <c r="AA84" s="326">
        <v>23</v>
      </c>
      <c r="AB84" s="326">
        <v>24</v>
      </c>
      <c r="AC84" s="327">
        <v>25</v>
      </c>
    </row>
    <row r="85" spans="1:29" ht="25.5" customHeight="1" x14ac:dyDescent="0.15">
      <c r="A85" s="230"/>
      <c r="B85" s="328" t="s">
        <v>152</v>
      </c>
      <c r="C85" s="378">
        <f>E37</f>
        <v>0.01</v>
      </c>
      <c r="D85" s="330"/>
      <c r="E85" s="331"/>
      <c r="F85" s="222"/>
      <c r="G85" s="222"/>
      <c r="H85" s="222"/>
      <c r="I85" s="222"/>
      <c r="J85" s="222"/>
      <c r="K85" s="222"/>
      <c r="L85" s="222"/>
      <c r="M85" s="222"/>
      <c r="N85" s="222"/>
      <c r="O85" s="222"/>
      <c r="P85" s="222"/>
      <c r="Q85" s="222"/>
      <c r="R85" s="222"/>
      <c r="S85" s="222"/>
      <c r="T85" s="222"/>
      <c r="U85" s="222"/>
      <c r="V85" s="222"/>
      <c r="W85" s="222"/>
      <c r="X85" s="222"/>
      <c r="Y85" s="222"/>
      <c r="Z85" s="222"/>
      <c r="AA85" s="222"/>
      <c r="AB85" s="222"/>
      <c r="AC85" s="332"/>
    </row>
    <row r="86" spans="1:29" ht="25.5" customHeight="1" x14ac:dyDescent="0.15">
      <c r="A86" s="230"/>
      <c r="B86" s="333" t="s">
        <v>153</v>
      </c>
      <c r="C86" s="379">
        <f>E34</f>
        <v>0.05</v>
      </c>
      <c r="D86" s="335"/>
      <c r="E86" s="336"/>
      <c r="F86" s="429"/>
      <c r="G86" s="417"/>
      <c r="H86" s="417"/>
      <c r="I86" s="417"/>
      <c r="J86" s="417"/>
      <c r="K86" s="417"/>
      <c r="L86" s="417"/>
      <c r="M86" s="417"/>
      <c r="N86" s="336"/>
      <c r="O86" s="336"/>
      <c r="P86" s="336"/>
      <c r="Q86" s="336"/>
      <c r="R86" s="336"/>
      <c r="S86" s="336"/>
      <c r="T86" s="336"/>
      <c r="U86" s="336"/>
      <c r="V86" s="336"/>
      <c r="W86" s="336"/>
      <c r="X86" s="336"/>
      <c r="Y86" s="336"/>
      <c r="Z86" s="336"/>
      <c r="AA86" s="336"/>
      <c r="AB86" s="336"/>
      <c r="AC86" s="338"/>
    </row>
    <row r="87" spans="1:29" ht="25.5" customHeight="1" x14ac:dyDescent="0.15">
      <c r="A87" s="230"/>
      <c r="B87" s="333" t="s">
        <v>154</v>
      </c>
      <c r="C87" s="379">
        <f>E35</f>
        <v>0.02</v>
      </c>
      <c r="D87" s="335"/>
      <c r="E87" s="336"/>
      <c r="F87" s="417"/>
      <c r="G87" s="417"/>
      <c r="H87" s="417"/>
      <c r="I87" s="417"/>
      <c r="J87" s="417"/>
      <c r="K87" s="417"/>
      <c r="L87" s="417"/>
      <c r="M87" s="417"/>
      <c r="N87" s="336"/>
      <c r="O87" s="336"/>
      <c r="P87" s="336"/>
      <c r="Q87" s="336"/>
      <c r="R87" s="336"/>
      <c r="S87" s="336"/>
      <c r="T87" s="336"/>
      <c r="U87" s="336"/>
      <c r="V87" s="336"/>
      <c r="W87" s="336"/>
      <c r="X87" s="336"/>
      <c r="Y87" s="336"/>
      <c r="Z87" s="336"/>
      <c r="AA87" s="336"/>
      <c r="AB87" s="336"/>
      <c r="AC87" s="338"/>
    </row>
    <row r="88" spans="1:29" ht="25.5" customHeight="1" x14ac:dyDescent="0.15">
      <c r="A88" s="230"/>
      <c r="B88" s="333" t="s">
        <v>155</v>
      </c>
      <c r="C88" s="380">
        <f>C67</f>
        <v>0.16800000000000001</v>
      </c>
      <c r="D88" s="335"/>
      <c r="E88" s="336"/>
      <c r="F88" s="417"/>
      <c r="G88" s="417"/>
      <c r="H88" s="417"/>
      <c r="I88" s="417"/>
      <c r="J88" s="417"/>
      <c r="K88" s="417"/>
      <c r="L88" s="417"/>
      <c r="M88" s="417"/>
      <c r="N88" s="336"/>
      <c r="O88" s="336"/>
      <c r="P88" s="336"/>
      <c r="Q88" s="336"/>
      <c r="R88" s="336"/>
      <c r="S88" s="336"/>
      <c r="T88" s="336"/>
      <c r="U88" s="336"/>
      <c r="V88" s="336"/>
      <c r="W88" s="336"/>
      <c r="X88" s="336"/>
      <c r="Y88" s="336"/>
      <c r="Z88" s="336"/>
      <c r="AA88" s="336"/>
      <c r="AB88" s="336"/>
      <c r="AC88" s="338"/>
    </row>
    <row r="89" spans="1:29" ht="25.5" customHeight="1" x14ac:dyDescent="0.15">
      <c r="A89" s="230"/>
      <c r="B89" s="381" t="s">
        <v>156</v>
      </c>
      <c r="C89" s="382">
        <f>C68</f>
        <v>0.04</v>
      </c>
      <c r="D89" s="335"/>
      <c r="E89" s="336"/>
      <c r="F89" s="223"/>
      <c r="G89" s="223"/>
      <c r="H89" s="223"/>
      <c r="I89" s="223"/>
      <c r="J89" s="223"/>
      <c r="K89" s="223"/>
      <c r="L89" s="223"/>
      <c r="M89" s="223"/>
      <c r="N89" s="223"/>
      <c r="O89" s="223"/>
      <c r="P89" s="223"/>
      <c r="Q89" s="223"/>
      <c r="R89" s="223"/>
      <c r="S89" s="223"/>
      <c r="T89" s="223"/>
      <c r="U89" s="223"/>
      <c r="V89" s="223"/>
      <c r="W89" s="223"/>
      <c r="X89" s="223"/>
      <c r="Y89" s="223"/>
      <c r="Z89" s="223"/>
      <c r="AA89" s="223"/>
      <c r="AB89" s="223"/>
      <c r="AC89" s="341"/>
    </row>
    <row r="90" spans="1:29" ht="25.5" customHeight="1" x14ac:dyDescent="0.15">
      <c r="A90" s="230"/>
      <c r="B90" s="333" t="s">
        <v>157</v>
      </c>
      <c r="C90" s="383">
        <f>E36</f>
        <v>25</v>
      </c>
      <c r="D90" s="335"/>
      <c r="E90" s="336"/>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341"/>
    </row>
    <row r="91" spans="1:29" ht="25.5" customHeight="1" x14ac:dyDescent="0.15">
      <c r="A91" s="230"/>
      <c r="B91" s="342" t="s">
        <v>94</v>
      </c>
      <c r="C91" s="343"/>
      <c r="D91" s="344">
        <f>IF(C90&gt;=D84,1,0)</f>
        <v>1</v>
      </c>
      <c r="E91" s="345">
        <f t="shared" ref="E91:AC91" si="13">IF($C90&gt;=E84,1,0)</f>
        <v>1</v>
      </c>
      <c r="F91" s="345">
        <f t="shared" si="13"/>
        <v>1</v>
      </c>
      <c r="G91" s="345">
        <f t="shared" si="13"/>
        <v>1</v>
      </c>
      <c r="H91" s="345">
        <f t="shared" si="13"/>
        <v>1</v>
      </c>
      <c r="I91" s="345">
        <f t="shared" si="13"/>
        <v>1</v>
      </c>
      <c r="J91" s="345">
        <f t="shared" si="13"/>
        <v>1</v>
      </c>
      <c r="K91" s="345">
        <f t="shared" si="13"/>
        <v>1</v>
      </c>
      <c r="L91" s="345">
        <f t="shared" si="13"/>
        <v>1</v>
      </c>
      <c r="M91" s="345">
        <f t="shared" si="13"/>
        <v>1</v>
      </c>
      <c r="N91" s="345">
        <f t="shared" si="13"/>
        <v>1</v>
      </c>
      <c r="O91" s="345">
        <f t="shared" si="13"/>
        <v>1</v>
      </c>
      <c r="P91" s="345">
        <f t="shared" si="13"/>
        <v>1</v>
      </c>
      <c r="Q91" s="345">
        <f t="shared" si="13"/>
        <v>1</v>
      </c>
      <c r="R91" s="345">
        <f t="shared" si="13"/>
        <v>1</v>
      </c>
      <c r="S91" s="345">
        <f t="shared" si="13"/>
        <v>1</v>
      </c>
      <c r="T91" s="345">
        <f t="shared" si="13"/>
        <v>1</v>
      </c>
      <c r="U91" s="345">
        <f t="shared" si="13"/>
        <v>1</v>
      </c>
      <c r="V91" s="345">
        <f t="shared" si="13"/>
        <v>1</v>
      </c>
      <c r="W91" s="345">
        <f t="shared" si="13"/>
        <v>1</v>
      </c>
      <c r="X91" s="345">
        <f t="shared" si="13"/>
        <v>1</v>
      </c>
      <c r="Y91" s="345">
        <f t="shared" si="13"/>
        <v>1</v>
      </c>
      <c r="Z91" s="345">
        <f t="shared" si="13"/>
        <v>1</v>
      </c>
      <c r="AA91" s="345">
        <f t="shared" si="13"/>
        <v>1</v>
      </c>
      <c r="AB91" s="345">
        <f t="shared" si="13"/>
        <v>1</v>
      </c>
      <c r="AC91" s="346">
        <f t="shared" si="13"/>
        <v>1</v>
      </c>
    </row>
    <row r="92" spans="1:29" ht="25.5" customHeight="1" x14ac:dyDescent="0.15">
      <c r="A92" s="230"/>
      <c r="B92" s="328" t="s">
        <v>158</v>
      </c>
      <c r="C92" s="347" t="s">
        <v>96</v>
      </c>
      <c r="D92" s="348"/>
      <c r="E92" s="349"/>
      <c r="F92" s="349"/>
      <c r="G92" s="349"/>
      <c r="H92" s="349"/>
      <c r="I92" s="349"/>
      <c r="J92" s="349"/>
      <c r="K92" s="349"/>
      <c r="L92" s="349"/>
      <c r="M92" s="349"/>
      <c r="N92" s="349"/>
      <c r="O92" s="349"/>
      <c r="P92" s="349"/>
      <c r="Q92" s="349"/>
      <c r="R92" s="349"/>
      <c r="S92" s="349"/>
      <c r="T92" s="349"/>
      <c r="U92" s="349"/>
      <c r="V92" s="349"/>
      <c r="W92" s="349"/>
      <c r="X92" s="349"/>
      <c r="Y92" s="349"/>
      <c r="Z92" s="349"/>
      <c r="AA92" s="349"/>
      <c r="AB92" s="349"/>
      <c r="AC92" s="350"/>
    </row>
    <row r="93" spans="1:29" ht="25.5" customHeight="1" x14ac:dyDescent="0.15">
      <c r="A93" s="230"/>
      <c r="B93" s="333" t="str">
        <f>$B72</f>
        <v>Investitionsauszahlung komplett</v>
      </c>
      <c r="C93" s="388">
        <f>E28</f>
        <v>661120</v>
      </c>
      <c r="D93" s="353">
        <f>-C93</f>
        <v>-661120</v>
      </c>
      <c r="E93" s="354"/>
      <c r="F93" s="354"/>
      <c r="G93" s="354"/>
      <c r="H93" s="354"/>
      <c r="I93" s="354"/>
      <c r="J93" s="354"/>
      <c r="K93" s="354"/>
      <c r="L93" s="354"/>
      <c r="M93" s="354"/>
      <c r="N93" s="354"/>
      <c r="O93" s="354"/>
      <c r="P93" s="354"/>
      <c r="Q93" s="354"/>
      <c r="R93" s="354"/>
      <c r="S93" s="354"/>
      <c r="T93" s="354"/>
      <c r="U93" s="354"/>
      <c r="V93" s="354"/>
      <c r="W93" s="354"/>
      <c r="X93" s="354"/>
      <c r="Y93" s="354"/>
      <c r="Z93" s="354"/>
      <c r="AA93" s="354"/>
      <c r="AB93" s="354"/>
      <c r="AC93" s="355"/>
    </row>
    <row r="94" spans="1:29" ht="25.5" customHeight="1" x14ac:dyDescent="0.15">
      <c r="A94" s="230"/>
      <c r="B94" s="333" t="str">
        <f>$B73</f>
        <v>Jahresbetriebskosten</v>
      </c>
      <c r="C94" s="352">
        <f>E30</f>
        <v>3036</v>
      </c>
      <c r="D94" s="353"/>
      <c r="E94" s="354">
        <f t="shared" ref="E94:AC94" si="14">-$C$94*(1+$C$87)^E84</f>
        <v>-3096.7200000000003</v>
      </c>
      <c r="F94" s="354">
        <f t="shared" si="14"/>
        <v>-3158.6543999999999</v>
      </c>
      <c r="G94" s="354">
        <f t="shared" si="14"/>
        <v>-3221.8274879999999</v>
      </c>
      <c r="H94" s="354">
        <f t="shared" si="14"/>
        <v>-3286.2640377600001</v>
      </c>
      <c r="I94" s="354">
        <f t="shared" si="14"/>
        <v>-3351.9893185152</v>
      </c>
      <c r="J94" s="354">
        <f t="shared" si="14"/>
        <v>-3419.0291048855042</v>
      </c>
      <c r="K94" s="354">
        <f t="shared" si="14"/>
        <v>-3487.4096869832133</v>
      </c>
      <c r="L94" s="354">
        <f t="shared" si="14"/>
        <v>-3557.157880722878</v>
      </c>
      <c r="M94" s="354">
        <f t="shared" si="14"/>
        <v>-3628.3010383373357</v>
      </c>
      <c r="N94" s="354">
        <f t="shared" si="14"/>
        <v>-3700.8670591040827</v>
      </c>
      <c r="O94" s="354">
        <f t="shared" si="14"/>
        <v>-3774.8844002861633</v>
      </c>
      <c r="P94" s="354">
        <f t="shared" si="14"/>
        <v>-3850.3820882918876</v>
      </c>
      <c r="Q94" s="354">
        <f t="shared" si="14"/>
        <v>-3927.389730057725</v>
      </c>
      <c r="R94" s="354">
        <f t="shared" si="14"/>
        <v>-4005.9375246588797</v>
      </c>
      <c r="S94" s="354">
        <f t="shared" si="14"/>
        <v>-4086.0562751520565</v>
      </c>
      <c r="T94" s="354">
        <f t="shared" si="14"/>
        <v>-4167.7774006550981</v>
      </c>
      <c r="U94" s="354">
        <f t="shared" si="14"/>
        <v>-4251.1329486682007</v>
      </c>
      <c r="V94" s="354">
        <f t="shared" si="14"/>
        <v>-4336.1556076415636</v>
      </c>
      <c r="W94" s="354">
        <f t="shared" si="14"/>
        <v>-4422.8787197943948</v>
      </c>
      <c r="X94" s="354">
        <f t="shared" si="14"/>
        <v>-4511.3362941902833</v>
      </c>
      <c r="Y94" s="354">
        <f t="shared" si="14"/>
        <v>-4601.5630200740889</v>
      </c>
      <c r="Z94" s="354">
        <f t="shared" si="14"/>
        <v>-4693.5942804755705</v>
      </c>
      <c r="AA94" s="354">
        <f t="shared" si="14"/>
        <v>-4787.4661660850816</v>
      </c>
      <c r="AB94" s="354">
        <f t="shared" si="14"/>
        <v>-4883.2154894067835</v>
      </c>
      <c r="AC94" s="355">
        <f t="shared" si="14"/>
        <v>-4980.8797991949186</v>
      </c>
    </row>
    <row r="95" spans="1:29" ht="25.5" customHeight="1" x14ac:dyDescent="0.15">
      <c r="A95" s="230"/>
      <c r="B95" s="386">
        <f>$B74</f>
        <v>0</v>
      </c>
      <c r="C95" s="357"/>
      <c r="D95" s="358">
        <f>-C95</f>
        <v>0</v>
      </c>
      <c r="E95" s="359"/>
      <c r="F95" s="359"/>
      <c r="G95" s="359"/>
      <c r="H95" s="359"/>
      <c r="I95" s="359"/>
      <c r="J95" s="359"/>
      <c r="K95" s="359"/>
      <c r="L95" s="359"/>
      <c r="M95" s="359"/>
      <c r="N95" s="359"/>
      <c r="O95" s="359"/>
      <c r="P95" s="359"/>
      <c r="Q95" s="359"/>
      <c r="R95" s="359"/>
      <c r="S95" s="359"/>
      <c r="T95" s="359"/>
      <c r="U95" s="359"/>
      <c r="V95" s="359"/>
      <c r="W95" s="359"/>
      <c r="X95" s="359"/>
      <c r="Y95" s="359"/>
      <c r="Z95" s="359"/>
      <c r="AA95" s="359"/>
      <c r="AB95" s="359"/>
      <c r="AC95" s="360"/>
    </row>
    <row r="96" spans="1:29" ht="25.5" customHeight="1" x14ac:dyDescent="0.15">
      <c r="A96" s="230"/>
      <c r="B96" s="328" t="s">
        <v>159</v>
      </c>
      <c r="C96" s="347" t="s">
        <v>96</v>
      </c>
      <c r="D96" s="361"/>
      <c r="E96" s="362"/>
      <c r="F96" s="362"/>
      <c r="G96" s="362"/>
      <c r="H96" s="362"/>
      <c r="I96" s="362"/>
      <c r="J96" s="362"/>
      <c r="K96" s="362"/>
      <c r="L96" s="362"/>
      <c r="M96" s="362"/>
      <c r="N96" s="362"/>
      <c r="O96" s="362"/>
      <c r="P96" s="362"/>
      <c r="Q96" s="362"/>
      <c r="R96" s="362"/>
      <c r="S96" s="362"/>
      <c r="T96" s="362"/>
      <c r="U96" s="362"/>
      <c r="V96" s="362"/>
      <c r="W96" s="362"/>
      <c r="X96" s="362"/>
      <c r="Y96" s="362"/>
      <c r="Z96" s="362"/>
      <c r="AA96" s="362"/>
      <c r="AB96" s="362"/>
      <c r="AC96" s="363"/>
    </row>
    <row r="97" spans="1:29" ht="25.5" customHeight="1" x14ac:dyDescent="0.15">
      <c r="A97" s="230"/>
      <c r="B97" s="333" t="str">
        <f>$B76</f>
        <v xml:space="preserve">Jährliche Energieeinsparung </v>
      </c>
      <c r="C97" s="364">
        <f>E32</f>
        <v>543451</v>
      </c>
      <c r="D97" s="353"/>
      <c r="E97" s="354">
        <f t="shared" ref="E97:AC97" si="15">$C97*(1-$L$12/100)^E84*$C88*(1+$C86)^E84</f>
        <v>95859.963162180007</v>
      </c>
      <c r="F97" s="354">
        <f t="shared" si="15"/>
        <v>100647.928672223</v>
      </c>
      <c r="G97" s="354">
        <f t="shared" si="15"/>
        <v>105675.04108957887</v>
      </c>
      <c r="H97" s="354">
        <f t="shared" si="15"/>
        <v>110953.24520440061</v>
      </c>
      <c r="I97" s="354">
        <f t="shared" si="15"/>
        <v>116495.08241924738</v>
      </c>
      <c r="J97" s="354">
        <f t="shared" si="15"/>
        <v>122313.72054838274</v>
      </c>
      <c r="K97" s="354">
        <f t="shared" si="15"/>
        <v>128422.98510547311</v>
      </c>
      <c r="L97" s="354">
        <f t="shared" si="15"/>
        <v>134837.39215402873</v>
      </c>
      <c r="M97" s="354">
        <f t="shared" si="15"/>
        <v>141572.18279864208</v>
      </c>
      <c r="N97" s="354">
        <f t="shared" si="15"/>
        <v>148643.35939897725</v>
      </c>
      <c r="O97" s="354">
        <f t="shared" si="15"/>
        <v>156067.72359255765</v>
      </c>
      <c r="P97" s="354">
        <f t="shared" si="15"/>
        <v>163862.9162166969</v>
      </c>
      <c r="Q97" s="354">
        <f t="shared" si="15"/>
        <v>172047.45922443041</v>
      </c>
      <c r="R97" s="354">
        <f t="shared" si="15"/>
        <v>180640.79969404259</v>
      </c>
      <c r="S97" s="354">
        <f t="shared" si="15"/>
        <v>189663.3560367609</v>
      </c>
      <c r="T97" s="354">
        <f t="shared" si="15"/>
        <v>199136.56651240698</v>
      </c>
      <c r="U97" s="354">
        <f t="shared" si="15"/>
        <v>209082.94016828542</v>
      </c>
      <c r="V97" s="354">
        <f t="shared" si="15"/>
        <v>219526.11032234089</v>
      </c>
      <c r="W97" s="354">
        <f t="shared" si="15"/>
        <v>230490.89071766596</v>
      </c>
      <c r="X97" s="354">
        <f t="shared" si="15"/>
        <v>242003.33448178665</v>
      </c>
      <c r="Y97" s="354">
        <f t="shared" si="15"/>
        <v>254090.7960308156</v>
      </c>
      <c r="Z97" s="354">
        <f t="shared" si="15"/>
        <v>266781.99606556474</v>
      </c>
      <c r="AA97" s="354">
        <f t="shared" si="15"/>
        <v>280107.08981404966</v>
      </c>
      <c r="AB97" s="354">
        <f t="shared" si="15"/>
        <v>294097.73868253682</v>
      </c>
      <c r="AC97" s="355">
        <f t="shared" si="15"/>
        <v>308787.18548538291</v>
      </c>
    </row>
    <row r="98" spans="1:29" ht="25.5" customHeight="1" x14ac:dyDescent="0.15">
      <c r="A98" s="230"/>
      <c r="B98" s="333" t="str">
        <f>$B77</f>
        <v xml:space="preserve">Jährliche Energieeinspeisung </v>
      </c>
      <c r="C98" s="385">
        <f>E33</f>
        <v>13132</v>
      </c>
      <c r="D98" s="353"/>
      <c r="E98" s="354">
        <f t="shared" ref="E98:AC98" si="16">$C98*(1-$L$13/100)^E84*$C$89</f>
        <v>525.253736</v>
      </c>
      <c r="F98" s="354">
        <f t="shared" si="16"/>
        <v>525.22747331319999</v>
      </c>
      <c r="G98" s="354">
        <f t="shared" si="16"/>
        <v>525.20121193953435</v>
      </c>
      <c r="H98" s="354">
        <f t="shared" si="16"/>
        <v>525.17495187893735</v>
      </c>
      <c r="I98" s="354">
        <f t="shared" si="16"/>
        <v>525.14869313134341</v>
      </c>
      <c r="J98" s="354">
        <f t="shared" si="16"/>
        <v>525.12243569668681</v>
      </c>
      <c r="K98" s="354">
        <f t="shared" si="16"/>
        <v>525.09617957490195</v>
      </c>
      <c r="L98" s="354">
        <f t="shared" si="16"/>
        <v>525.06992476592325</v>
      </c>
      <c r="M98" s="354">
        <f t="shared" si="16"/>
        <v>525.04367126968498</v>
      </c>
      <c r="N98" s="354">
        <f t="shared" si="16"/>
        <v>525.01741908612144</v>
      </c>
      <c r="O98" s="354">
        <f t="shared" si="16"/>
        <v>524.99116821516725</v>
      </c>
      <c r="P98" s="354">
        <f t="shared" si="16"/>
        <v>524.96491865675648</v>
      </c>
      <c r="Q98" s="354">
        <f t="shared" si="16"/>
        <v>524.93867041082365</v>
      </c>
      <c r="R98" s="354">
        <f t="shared" si="16"/>
        <v>524.91242347730304</v>
      </c>
      <c r="S98" s="354">
        <f t="shared" si="16"/>
        <v>524.88617785612928</v>
      </c>
      <c r="T98" s="354">
        <f t="shared" si="16"/>
        <v>524.85993354723632</v>
      </c>
      <c r="U98" s="354">
        <f t="shared" si="16"/>
        <v>524.83369055055903</v>
      </c>
      <c r="V98" s="354">
        <f t="shared" si="16"/>
        <v>524.80744886603145</v>
      </c>
      <c r="W98" s="354">
        <f t="shared" si="16"/>
        <v>524.78120849358811</v>
      </c>
      <c r="X98" s="354">
        <f t="shared" si="16"/>
        <v>524.75496943316352</v>
      </c>
      <c r="Y98" s="354">
        <f t="shared" si="16"/>
        <v>524.72873168469187</v>
      </c>
      <c r="Z98" s="354">
        <f t="shared" si="16"/>
        <v>524.70249524810765</v>
      </c>
      <c r="AA98" s="354">
        <f t="shared" si="16"/>
        <v>524.67626012334517</v>
      </c>
      <c r="AB98" s="354">
        <f t="shared" si="16"/>
        <v>524.65002631033906</v>
      </c>
      <c r="AC98" s="355">
        <f t="shared" si="16"/>
        <v>524.6237938090236</v>
      </c>
    </row>
    <row r="99" spans="1:29" ht="25.5" customHeight="1" x14ac:dyDescent="0.15">
      <c r="A99" s="230"/>
      <c r="B99" s="386">
        <f>$B78</f>
        <v>0</v>
      </c>
      <c r="C99" s="357"/>
      <c r="D99" s="358">
        <f>C99</f>
        <v>0</v>
      </c>
      <c r="E99" s="359"/>
      <c r="F99" s="359"/>
      <c r="G99" s="359"/>
      <c r="H99" s="359"/>
      <c r="I99" s="359"/>
      <c r="J99" s="359"/>
      <c r="K99" s="359"/>
      <c r="L99" s="359"/>
      <c r="M99" s="359"/>
      <c r="N99" s="359"/>
      <c r="O99" s="359"/>
      <c r="P99" s="359"/>
      <c r="Q99" s="359"/>
      <c r="R99" s="359"/>
      <c r="S99" s="359"/>
      <c r="T99" s="359"/>
      <c r="U99" s="359"/>
      <c r="V99" s="359"/>
      <c r="W99" s="359"/>
      <c r="X99" s="359"/>
      <c r="Y99" s="359"/>
      <c r="Z99" s="359"/>
      <c r="AA99" s="359"/>
      <c r="AB99" s="359"/>
      <c r="AC99" s="360"/>
    </row>
    <row r="100" spans="1:29" ht="25.5" customHeight="1" x14ac:dyDescent="0.15">
      <c r="A100" s="230"/>
      <c r="B100" s="328" t="s">
        <v>160</v>
      </c>
      <c r="C100" s="365"/>
      <c r="D100" s="361">
        <f t="shared" ref="D100:AC100" si="17">(SUM(D93:D95)+SUM(D97:D99))*D91</f>
        <v>-661120</v>
      </c>
      <c r="E100" s="362">
        <f t="shared" si="17"/>
        <v>93288.496898180005</v>
      </c>
      <c r="F100" s="362">
        <f t="shared" si="17"/>
        <v>98014.50174553621</v>
      </c>
      <c r="G100" s="362">
        <f t="shared" si="17"/>
        <v>102978.41481351841</v>
      </c>
      <c r="H100" s="362">
        <f t="shared" si="17"/>
        <v>108192.15611851955</v>
      </c>
      <c r="I100" s="362">
        <f t="shared" si="17"/>
        <v>113668.24179386352</v>
      </c>
      <c r="J100" s="362">
        <f t="shared" si="17"/>
        <v>119419.81387919393</v>
      </c>
      <c r="K100" s="362">
        <f t="shared" si="17"/>
        <v>125460.6715980648</v>
      </c>
      <c r="L100" s="362">
        <f t="shared" si="17"/>
        <v>131805.3041980718</v>
      </c>
      <c r="M100" s="362">
        <f t="shared" si="17"/>
        <v>138468.92543157443</v>
      </c>
      <c r="N100" s="362">
        <f t="shared" si="17"/>
        <v>145467.50975895929</v>
      </c>
      <c r="O100" s="362">
        <f t="shared" si="17"/>
        <v>152817.83036048667</v>
      </c>
      <c r="P100" s="362">
        <f t="shared" si="17"/>
        <v>160537.49904706178</v>
      </c>
      <c r="Q100" s="362">
        <f t="shared" si="17"/>
        <v>168645.0081647835</v>
      </c>
      <c r="R100" s="362">
        <f t="shared" si="17"/>
        <v>177159.77459286101</v>
      </c>
      <c r="S100" s="362">
        <f t="shared" si="17"/>
        <v>186102.18593946498</v>
      </c>
      <c r="T100" s="362">
        <f t="shared" si="17"/>
        <v>195493.64904529913</v>
      </c>
      <c r="U100" s="362">
        <f t="shared" si="17"/>
        <v>205356.64091016777</v>
      </c>
      <c r="V100" s="362">
        <f t="shared" si="17"/>
        <v>215714.76216356535</v>
      </c>
      <c r="W100" s="362">
        <f t="shared" si="17"/>
        <v>226592.79320636517</v>
      </c>
      <c r="X100" s="362">
        <f t="shared" si="17"/>
        <v>238016.75315702951</v>
      </c>
      <c r="Y100" s="362">
        <f t="shared" si="17"/>
        <v>250013.96174242618</v>
      </c>
      <c r="Z100" s="362">
        <f t="shared" si="17"/>
        <v>262613.10428033728</v>
      </c>
      <c r="AA100" s="362">
        <f t="shared" si="17"/>
        <v>275844.29990808788</v>
      </c>
      <c r="AB100" s="362">
        <f t="shared" si="17"/>
        <v>289739.17321944039</v>
      </c>
      <c r="AC100" s="363">
        <f t="shared" si="17"/>
        <v>304330.92947999702</v>
      </c>
    </row>
    <row r="101" spans="1:29" ht="25.5" customHeight="1" x14ac:dyDescent="0.15">
      <c r="A101" s="230"/>
      <c r="B101" s="342" t="s">
        <v>161</v>
      </c>
      <c r="C101" s="366"/>
      <c r="D101" s="358">
        <f t="shared" ref="D101:AC101" si="18">(D100)/(1+$C85)^D84</f>
        <v>-661120</v>
      </c>
      <c r="E101" s="359">
        <f t="shared" si="18"/>
        <v>92364.848414039603</v>
      </c>
      <c r="F101" s="359">
        <f t="shared" si="18"/>
        <v>96083.2288457369</v>
      </c>
      <c r="G101" s="359">
        <f t="shared" si="18"/>
        <v>99949.834867207173</v>
      </c>
      <c r="H101" s="359">
        <f t="shared" si="18"/>
        <v>103970.53545711355</v>
      </c>
      <c r="I101" s="359">
        <f t="shared" si="18"/>
        <v>108151.43183744854</v>
      </c>
      <c r="J101" s="359">
        <f t="shared" si="18"/>
        <v>112498.86665983881</v>
      </c>
      <c r="K101" s="359">
        <f t="shared" si="18"/>
        <v>117019.43355519777</v>
      </c>
      <c r="L101" s="359">
        <f t="shared" si="18"/>
        <v>121719.98706109676</v>
      </c>
      <c r="M101" s="359">
        <f t="shared" si="18"/>
        <v>126607.65294179537</v>
      </c>
      <c r="N101" s="359">
        <f t="shared" si="18"/>
        <v>131689.83891646005</v>
      </c>
      <c r="O101" s="359">
        <f t="shared" si="18"/>
        <v>136974.24581171674</v>
      </c>
      <c r="P101" s="359">
        <f t="shared" si="18"/>
        <v>142468.87915532032</v>
      </c>
      <c r="Q101" s="359">
        <f t="shared" si="18"/>
        <v>148182.06122838875</v>
      </c>
      <c r="R101" s="359">
        <f t="shared" si="18"/>
        <v>154122.44359433756</v>
      </c>
      <c r="S101" s="359">
        <f t="shared" si="18"/>
        <v>160299.02012337151</v>
      </c>
      <c r="T101" s="359">
        <f t="shared" si="18"/>
        <v>166721.14053213049</v>
      </c>
      <c r="U101" s="359">
        <f t="shared" si="18"/>
        <v>173398.52445886968</v>
      </c>
      <c r="V101" s="359">
        <f t="shared" si="18"/>
        <v>180341.27609535042</v>
      </c>
      <c r="W101" s="359">
        <f t="shared" si="18"/>
        <v>187559.89939746447</v>
      </c>
      <c r="X101" s="359">
        <f t="shared" si="18"/>
        <v>195065.31389748055</v>
      </c>
      <c r="Y101" s="359">
        <f t="shared" si="18"/>
        <v>202868.87114170846</v>
      </c>
      <c r="Z101" s="359">
        <f t="shared" si="18"/>
        <v>210982.37177831773</v>
      </c>
      <c r="AA101" s="359">
        <f t="shared" si="18"/>
        <v>219418.08332102557</v>
      </c>
      <c r="AB101" s="359">
        <f t="shared" si="18"/>
        <v>228188.75861538542</v>
      </c>
      <c r="AC101" s="360">
        <f t="shared" si="18"/>
        <v>237307.65503546814</v>
      </c>
    </row>
    <row r="102" spans="1:29" ht="25.5" customHeight="1" x14ac:dyDescent="0.15">
      <c r="A102" s="389"/>
      <c r="B102" s="367" t="s">
        <v>162</v>
      </c>
      <c r="C102" s="370"/>
      <c r="D102" s="371">
        <f>SUM(D101:AC101)</f>
        <v>3192834.2027422702</v>
      </c>
      <c r="E102" s="368"/>
      <c r="F102" s="368"/>
      <c r="G102" s="368"/>
      <c r="H102" s="368"/>
      <c r="I102" s="368"/>
      <c r="J102" s="368"/>
      <c r="K102" s="368"/>
      <c r="L102" s="368"/>
      <c r="M102" s="368"/>
      <c r="N102" s="368"/>
      <c r="O102" s="368"/>
      <c r="P102" s="368"/>
      <c r="Q102" s="368"/>
      <c r="R102" s="368"/>
      <c r="S102" s="368"/>
      <c r="T102" s="368"/>
      <c r="U102" s="368"/>
      <c r="V102" s="368"/>
      <c r="W102" s="368"/>
      <c r="X102" s="368"/>
      <c r="Y102" s="368"/>
      <c r="Z102" s="368"/>
      <c r="AA102" s="368"/>
      <c r="AB102" s="368"/>
      <c r="AC102" s="369"/>
    </row>
  </sheetData>
  <mergeCells count="12">
    <mergeCell ref="B40:C40"/>
    <mergeCell ref="F43:M45"/>
    <mergeCell ref="F65:M67"/>
    <mergeCell ref="F86:M88"/>
    <mergeCell ref="I26:I28"/>
    <mergeCell ref="I24:J24"/>
    <mergeCell ref="G19:M19"/>
    <mergeCell ref="E3:H3"/>
    <mergeCell ref="C21:E21"/>
    <mergeCell ref="B12:B16"/>
    <mergeCell ref="C20:E20"/>
    <mergeCell ref="B8:B11"/>
  </mergeCells>
  <conditionalFormatting sqref="D59:AC59">
    <cfRule type="cellIs" dxfId="23" priority="1" stopIfTrue="1" operator="lessThan">
      <formula>0</formula>
    </cfRule>
    <cfRule type="cellIs" dxfId="22" priority="2" stopIfTrue="1" operator="greaterThanOrEqual">
      <formula>0</formula>
    </cfRule>
  </conditionalFormatting>
  <pageMargins left="1" right="1" top="1" bottom="1" header="0.25" footer="0.25"/>
  <pageSetup orientation="portrait"/>
  <headerFooter>
    <oddFooter>&amp;C&amp;"Helvetica Neue,Regular"&amp;12&amp;K000000&amp;P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51"/>
  <sheetViews>
    <sheetView showGridLines="0" workbookViewId="0"/>
  </sheetViews>
  <sheetFormatPr baseColWidth="10" defaultColWidth="10" defaultRowHeight="14" customHeight="1" x14ac:dyDescent="0.15"/>
  <cols>
    <col min="1" max="16" width="10" style="390" customWidth="1"/>
    <col min="17" max="16384" width="10" style="390"/>
  </cols>
  <sheetData>
    <row r="1" spans="1:15" ht="14" customHeight="1" x14ac:dyDescent="0.15">
      <c r="A1" s="391"/>
      <c r="B1" s="392"/>
      <c r="C1" s="392"/>
      <c r="D1" s="392"/>
      <c r="E1" s="392"/>
      <c r="F1" s="392"/>
      <c r="G1" s="392"/>
      <c r="H1" s="392"/>
      <c r="I1" s="392"/>
      <c r="J1" s="392"/>
      <c r="K1" s="392"/>
      <c r="L1" s="392"/>
      <c r="M1" s="392"/>
      <c r="N1" s="392"/>
      <c r="O1" s="393"/>
    </row>
    <row r="2" spans="1:15" ht="14" customHeight="1" x14ac:dyDescent="0.15">
      <c r="A2" s="394"/>
      <c r="B2" s="395"/>
      <c r="C2" s="395"/>
      <c r="D2" s="395"/>
      <c r="E2" s="395"/>
      <c r="F2" s="395"/>
      <c r="G2" s="395"/>
      <c r="H2" s="395"/>
      <c r="I2" s="395"/>
      <c r="J2" s="395"/>
      <c r="K2" s="395"/>
      <c r="L2" s="395"/>
      <c r="M2" s="395"/>
      <c r="N2" s="395"/>
      <c r="O2" s="396"/>
    </row>
    <row r="3" spans="1:15" ht="14" customHeight="1" x14ac:dyDescent="0.15">
      <c r="A3" s="394"/>
      <c r="B3" s="395"/>
      <c r="C3" s="395"/>
      <c r="D3" s="395"/>
      <c r="E3" s="395"/>
      <c r="F3" s="395"/>
      <c r="G3" s="395"/>
      <c r="H3" s="395"/>
      <c r="I3" s="395"/>
      <c r="J3" s="395"/>
      <c r="K3" s="395"/>
      <c r="L3" s="395"/>
      <c r="M3" s="395"/>
      <c r="N3" s="395"/>
      <c r="O3" s="396"/>
    </row>
    <row r="4" spans="1:15" ht="14" customHeight="1" x14ac:dyDescent="0.15">
      <c r="A4" s="394"/>
      <c r="B4" s="395"/>
      <c r="C4" s="395"/>
      <c r="D4" s="395"/>
      <c r="E4" s="395"/>
      <c r="F4" s="395"/>
      <c r="G4" s="395"/>
      <c r="H4" s="395"/>
      <c r="I4" s="395"/>
      <c r="J4" s="395"/>
      <c r="K4" s="395"/>
      <c r="L4" s="395"/>
      <c r="M4" s="395"/>
      <c r="N4" s="395"/>
      <c r="O4" s="396"/>
    </row>
    <row r="5" spans="1:15" ht="14" customHeight="1" x14ac:dyDescent="0.15">
      <c r="A5" s="394"/>
      <c r="B5" s="395"/>
      <c r="C5" s="395"/>
      <c r="D5" s="395"/>
      <c r="E5" s="395"/>
      <c r="F5" s="395"/>
      <c r="G5" s="395"/>
      <c r="H5" s="395"/>
      <c r="I5" s="395"/>
      <c r="J5" s="395"/>
      <c r="K5" s="395"/>
      <c r="L5" s="395"/>
      <c r="M5" s="395"/>
      <c r="N5" s="395"/>
      <c r="O5" s="396"/>
    </row>
    <row r="6" spans="1:15" ht="14" customHeight="1" x14ac:dyDescent="0.15">
      <c r="A6" s="394"/>
      <c r="B6" s="395"/>
      <c r="C6" s="395"/>
      <c r="D6" s="395"/>
      <c r="E6" s="395"/>
      <c r="F6" s="395"/>
      <c r="G6" s="395"/>
      <c r="H6" s="395"/>
      <c r="I6" s="395"/>
      <c r="J6" s="395"/>
      <c r="K6" s="395"/>
      <c r="L6" s="395"/>
      <c r="M6" s="395"/>
      <c r="N6" s="395"/>
      <c r="O6" s="396"/>
    </row>
    <row r="7" spans="1:15" ht="14" customHeight="1" x14ac:dyDescent="0.15">
      <c r="A7" s="394"/>
      <c r="B7" s="395"/>
      <c r="C7" s="395"/>
      <c r="D7" s="395"/>
      <c r="E7" s="395"/>
      <c r="F7" s="395"/>
      <c r="G7" s="395"/>
      <c r="H7" s="395"/>
      <c r="I7" s="395"/>
      <c r="J7" s="395"/>
      <c r="K7" s="395"/>
      <c r="L7" s="395"/>
      <c r="M7" s="395"/>
      <c r="N7" s="395"/>
      <c r="O7" s="396"/>
    </row>
    <row r="8" spans="1:15" ht="14" customHeight="1" x14ac:dyDescent="0.15">
      <c r="A8" s="394"/>
      <c r="B8" s="395"/>
      <c r="C8" s="395"/>
      <c r="D8" s="395"/>
      <c r="E8" s="395"/>
      <c r="F8" s="395"/>
      <c r="G8" s="395"/>
      <c r="H8" s="395"/>
      <c r="I8" s="395"/>
      <c r="J8" s="395"/>
      <c r="K8" s="395"/>
      <c r="L8" s="395"/>
      <c r="M8" s="395"/>
      <c r="N8" s="395"/>
      <c r="O8" s="396"/>
    </row>
    <row r="9" spans="1:15" ht="14" customHeight="1" x14ac:dyDescent="0.15">
      <c r="A9" s="394"/>
      <c r="B9" s="395"/>
      <c r="C9" s="395"/>
      <c r="D9" s="395"/>
      <c r="E9" s="395"/>
      <c r="F9" s="395"/>
      <c r="G9" s="395"/>
      <c r="H9" s="395"/>
      <c r="I9" s="395"/>
      <c r="J9" s="395"/>
      <c r="K9" s="395"/>
      <c r="L9" s="395"/>
      <c r="M9" s="395"/>
      <c r="N9" s="395"/>
      <c r="O9" s="396"/>
    </row>
    <row r="10" spans="1:15" ht="14" customHeight="1" x14ac:dyDescent="0.15">
      <c r="A10" s="394"/>
      <c r="B10" s="395"/>
      <c r="C10" s="395"/>
      <c r="D10" s="395"/>
      <c r="E10" s="395"/>
      <c r="F10" s="395"/>
      <c r="G10" s="395"/>
      <c r="H10" s="395"/>
      <c r="I10" s="395"/>
      <c r="J10" s="395"/>
      <c r="K10" s="395"/>
      <c r="L10" s="395"/>
      <c r="M10" s="395"/>
      <c r="N10" s="395"/>
      <c r="O10" s="396"/>
    </row>
    <row r="11" spans="1:15" ht="14" customHeight="1" x14ac:dyDescent="0.15">
      <c r="A11" s="394"/>
      <c r="B11" s="395"/>
      <c r="C11" s="395"/>
      <c r="D11" s="395"/>
      <c r="E11" s="395"/>
      <c r="F11" s="395"/>
      <c r="G11" s="395"/>
      <c r="H11" s="395"/>
      <c r="I11" s="395"/>
      <c r="J11" s="395"/>
      <c r="K11" s="395"/>
      <c r="L11" s="395"/>
      <c r="M11" s="395"/>
      <c r="N11" s="395"/>
      <c r="O11" s="396"/>
    </row>
    <row r="12" spans="1:15" ht="14" customHeight="1" x14ac:dyDescent="0.15">
      <c r="A12" s="394"/>
      <c r="B12" s="395"/>
      <c r="C12" s="395"/>
      <c r="D12" s="395"/>
      <c r="E12" s="395"/>
      <c r="F12" s="395"/>
      <c r="G12" s="395"/>
      <c r="H12" s="395"/>
      <c r="I12" s="395"/>
      <c r="J12" s="395"/>
      <c r="K12" s="395"/>
      <c r="L12" s="395"/>
      <c r="M12" s="395"/>
      <c r="N12" s="395"/>
      <c r="O12" s="396"/>
    </row>
    <row r="13" spans="1:15" ht="14" customHeight="1" x14ac:dyDescent="0.15">
      <c r="A13" s="394"/>
      <c r="B13" s="395"/>
      <c r="C13" s="395"/>
      <c r="D13" s="395"/>
      <c r="E13" s="395"/>
      <c r="F13" s="395"/>
      <c r="G13" s="395"/>
      <c r="H13" s="395"/>
      <c r="I13" s="395"/>
      <c r="J13" s="395"/>
      <c r="K13" s="395"/>
      <c r="L13" s="395"/>
      <c r="M13" s="395"/>
      <c r="N13" s="395"/>
      <c r="O13" s="396"/>
    </row>
    <row r="14" spans="1:15" ht="14" customHeight="1" x14ac:dyDescent="0.15">
      <c r="A14" s="394"/>
      <c r="B14" s="395"/>
      <c r="C14" s="395"/>
      <c r="D14" s="395"/>
      <c r="E14" s="395"/>
      <c r="F14" s="395"/>
      <c r="G14" s="395"/>
      <c r="H14" s="395"/>
      <c r="I14" s="395"/>
      <c r="J14" s="395"/>
      <c r="K14" s="395"/>
      <c r="L14" s="395"/>
      <c r="M14" s="395"/>
      <c r="N14" s="395"/>
      <c r="O14" s="396"/>
    </row>
    <row r="15" spans="1:15" ht="14" customHeight="1" x14ac:dyDescent="0.15">
      <c r="A15" s="394"/>
      <c r="B15" s="395"/>
      <c r="C15" s="395"/>
      <c r="D15" s="395"/>
      <c r="E15" s="395"/>
      <c r="F15" s="395"/>
      <c r="G15" s="395"/>
      <c r="H15" s="395"/>
      <c r="I15" s="395"/>
      <c r="J15" s="395"/>
      <c r="K15" s="395"/>
      <c r="L15" s="395"/>
      <c r="M15" s="395"/>
      <c r="N15" s="395"/>
      <c r="O15" s="396"/>
    </row>
    <row r="16" spans="1:15" ht="14" customHeight="1" x14ac:dyDescent="0.15">
      <c r="A16" s="394"/>
      <c r="B16" s="395"/>
      <c r="C16" s="395"/>
      <c r="D16" s="395"/>
      <c r="E16" s="395"/>
      <c r="F16" s="395"/>
      <c r="G16" s="395"/>
      <c r="H16" s="395"/>
      <c r="I16" s="395"/>
      <c r="J16" s="395"/>
      <c r="K16" s="395"/>
      <c r="L16" s="395"/>
      <c r="M16" s="395"/>
      <c r="N16" s="395"/>
      <c r="O16" s="396"/>
    </row>
    <row r="17" spans="1:15" ht="14" customHeight="1" x14ac:dyDescent="0.15">
      <c r="A17" s="394"/>
      <c r="B17" s="395"/>
      <c r="C17" s="395"/>
      <c r="D17" s="395"/>
      <c r="E17" s="395"/>
      <c r="F17" s="395"/>
      <c r="G17" s="395"/>
      <c r="H17" s="395"/>
      <c r="I17" s="395"/>
      <c r="J17" s="395"/>
      <c r="K17" s="395"/>
      <c r="L17" s="395"/>
      <c r="M17" s="395"/>
      <c r="N17" s="395"/>
      <c r="O17" s="396"/>
    </row>
    <row r="18" spans="1:15" ht="14" customHeight="1" x14ac:dyDescent="0.15">
      <c r="A18" s="394"/>
      <c r="B18" s="395"/>
      <c r="C18" s="395"/>
      <c r="D18" s="395"/>
      <c r="E18" s="395"/>
      <c r="F18" s="395"/>
      <c r="G18" s="395"/>
      <c r="H18" s="395"/>
      <c r="I18" s="395"/>
      <c r="J18" s="395"/>
      <c r="K18" s="395"/>
      <c r="L18" s="395"/>
      <c r="M18" s="395"/>
      <c r="N18" s="395"/>
      <c r="O18" s="396"/>
    </row>
    <row r="19" spans="1:15" ht="14" customHeight="1" x14ac:dyDescent="0.15">
      <c r="A19" s="394"/>
      <c r="B19" s="395"/>
      <c r="C19" s="395"/>
      <c r="D19" s="395"/>
      <c r="E19" s="395"/>
      <c r="F19" s="395"/>
      <c r="G19" s="395"/>
      <c r="H19" s="395"/>
      <c r="I19" s="395"/>
      <c r="J19" s="395"/>
      <c r="K19" s="395"/>
      <c r="L19" s="395"/>
      <c r="M19" s="395"/>
      <c r="N19" s="395"/>
      <c r="O19" s="396"/>
    </row>
    <row r="20" spans="1:15" ht="14" customHeight="1" x14ac:dyDescent="0.15">
      <c r="A20" s="394"/>
      <c r="B20" s="395"/>
      <c r="C20" s="395"/>
      <c r="D20" s="395"/>
      <c r="E20" s="395"/>
      <c r="F20" s="395"/>
      <c r="G20" s="395"/>
      <c r="H20" s="395"/>
      <c r="I20" s="395"/>
      <c r="J20" s="395"/>
      <c r="K20" s="395"/>
      <c r="L20" s="395"/>
      <c r="M20" s="395"/>
      <c r="N20" s="395"/>
      <c r="O20" s="396"/>
    </row>
    <row r="21" spans="1:15" ht="14" customHeight="1" x14ac:dyDescent="0.15">
      <c r="A21" s="394"/>
      <c r="B21" s="395"/>
      <c r="C21" s="395"/>
      <c r="D21" s="395"/>
      <c r="E21" s="395"/>
      <c r="F21" s="395"/>
      <c r="G21" s="395"/>
      <c r="H21" s="395"/>
      <c r="I21" s="395"/>
      <c r="J21" s="395"/>
      <c r="K21" s="395"/>
      <c r="L21" s="395"/>
      <c r="M21" s="395"/>
      <c r="N21" s="395"/>
      <c r="O21" s="396"/>
    </row>
    <row r="22" spans="1:15" ht="14" customHeight="1" x14ac:dyDescent="0.15">
      <c r="A22" s="394"/>
      <c r="B22" s="395"/>
      <c r="C22" s="395"/>
      <c r="D22" s="395"/>
      <c r="E22" s="395"/>
      <c r="F22" s="395"/>
      <c r="G22" s="395"/>
      <c r="H22" s="395"/>
      <c r="I22" s="395"/>
      <c r="J22" s="395"/>
      <c r="K22" s="395"/>
      <c r="L22" s="395"/>
      <c r="M22" s="395"/>
      <c r="N22" s="395"/>
      <c r="O22" s="396"/>
    </row>
    <row r="23" spans="1:15" ht="14" customHeight="1" x14ac:dyDescent="0.15">
      <c r="A23" s="394"/>
      <c r="B23" s="395"/>
      <c r="C23" s="395"/>
      <c r="D23" s="395"/>
      <c r="E23" s="395"/>
      <c r="F23" s="395"/>
      <c r="G23" s="395"/>
      <c r="H23" s="395"/>
      <c r="I23" s="395"/>
      <c r="J23" s="395"/>
      <c r="K23" s="395"/>
      <c r="L23" s="395"/>
      <c r="M23" s="395"/>
      <c r="N23" s="395"/>
      <c r="O23" s="396"/>
    </row>
    <row r="24" spans="1:15" ht="14" customHeight="1" x14ac:dyDescent="0.15">
      <c r="A24" s="394"/>
      <c r="B24" s="395"/>
      <c r="C24" s="395"/>
      <c r="D24" s="395"/>
      <c r="E24" s="395"/>
      <c r="F24" s="395"/>
      <c r="G24" s="395"/>
      <c r="H24" s="395"/>
      <c r="I24" s="395"/>
      <c r="J24" s="395"/>
      <c r="K24" s="395"/>
      <c r="L24" s="395"/>
      <c r="M24" s="395"/>
      <c r="N24" s="395"/>
      <c r="O24" s="396"/>
    </row>
    <row r="25" spans="1:15" ht="14" customHeight="1" x14ac:dyDescent="0.15">
      <c r="A25" s="394"/>
      <c r="B25" s="395"/>
      <c r="C25" s="395"/>
      <c r="D25" s="395"/>
      <c r="E25" s="395"/>
      <c r="F25" s="395"/>
      <c r="G25" s="395"/>
      <c r="H25" s="395"/>
      <c r="I25" s="395"/>
      <c r="J25" s="395"/>
      <c r="K25" s="395"/>
      <c r="L25" s="395"/>
      <c r="M25" s="395"/>
      <c r="N25" s="395"/>
      <c r="O25" s="396"/>
    </row>
    <row r="26" spans="1:15" ht="14" customHeight="1" x14ac:dyDescent="0.15">
      <c r="A26" s="394"/>
      <c r="B26" s="395"/>
      <c r="C26" s="395"/>
      <c r="D26" s="395"/>
      <c r="E26" s="395"/>
      <c r="F26" s="395"/>
      <c r="G26" s="395"/>
      <c r="H26" s="395"/>
      <c r="I26" s="395"/>
      <c r="J26" s="395"/>
      <c r="K26" s="395"/>
      <c r="L26" s="395"/>
      <c r="M26" s="395"/>
      <c r="N26" s="395"/>
      <c r="O26" s="396"/>
    </row>
    <row r="27" spans="1:15" ht="14" customHeight="1" x14ac:dyDescent="0.15">
      <c r="A27" s="394"/>
      <c r="B27" s="395"/>
      <c r="C27" s="395"/>
      <c r="D27" s="395"/>
      <c r="E27" s="395"/>
      <c r="F27" s="395"/>
      <c r="G27" s="395"/>
      <c r="H27" s="395"/>
      <c r="I27" s="395"/>
      <c r="J27" s="395"/>
      <c r="K27" s="395"/>
      <c r="L27" s="395"/>
      <c r="M27" s="395"/>
      <c r="N27" s="395"/>
      <c r="O27" s="396"/>
    </row>
    <row r="28" spans="1:15" ht="14" customHeight="1" x14ac:dyDescent="0.15">
      <c r="A28" s="394"/>
      <c r="B28" s="395"/>
      <c r="C28" s="395"/>
      <c r="D28" s="395"/>
      <c r="E28" s="395"/>
      <c r="F28" s="395"/>
      <c r="G28" s="395"/>
      <c r="H28" s="395"/>
      <c r="I28" s="395"/>
      <c r="J28" s="395"/>
      <c r="K28" s="395"/>
      <c r="L28" s="395"/>
      <c r="M28" s="395"/>
      <c r="N28" s="395"/>
      <c r="O28" s="396"/>
    </row>
    <row r="29" spans="1:15" ht="14" customHeight="1" x14ac:dyDescent="0.15">
      <c r="A29" s="394"/>
      <c r="B29" s="395"/>
      <c r="C29" s="395"/>
      <c r="D29" s="395"/>
      <c r="E29" s="395"/>
      <c r="F29" s="395"/>
      <c r="G29" s="395"/>
      <c r="H29" s="395"/>
      <c r="I29" s="395"/>
      <c r="J29" s="395"/>
      <c r="K29" s="395"/>
      <c r="L29" s="395"/>
      <c r="M29" s="395"/>
      <c r="N29" s="395"/>
      <c r="O29" s="396"/>
    </row>
    <row r="30" spans="1:15" ht="14" customHeight="1" x14ac:dyDescent="0.15">
      <c r="A30" s="394"/>
      <c r="B30" s="395"/>
      <c r="C30" s="395"/>
      <c r="D30" s="395"/>
      <c r="E30" s="395"/>
      <c r="F30" s="395"/>
      <c r="G30" s="395"/>
      <c r="H30" s="395"/>
      <c r="I30" s="395"/>
      <c r="J30" s="395"/>
      <c r="K30" s="395"/>
      <c r="L30" s="395"/>
      <c r="M30" s="395"/>
      <c r="N30" s="395"/>
      <c r="O30" s="396"/>
    </row>
    <row r="31" spans="1:15" ht="14" customHeight="1" x14ac:dyDescent="0.15">
      <c r="A31" s="394"/>
      <c r="B31" s="395"/>
      <c r="C31" s="395"/>
      <c r="D31" s="395"/>
      <c r="E31" s="395"/>
      <c r="F31" s="395"/>
      <c r="G31" s="395"/>
      <c r="H31" s="395"/>
      <c r="I31" s="395"/>
      <c r="J31" s="395"/>
      <c r="K31" s="395"/>
      <c r="L31" s="395"/>
      <c r="M31" s="395"/>
      <c r="N31" s="395"/>
      <c r="O31" s="396"/>
    </row>
    <row r="32" spans="1:15" ht="14" customHeight="1" x14ac:dyDescent="0.15">
      <c r="A32" s="394"/>
      <c r="B32" s="395"/>
      <c r="C32" s="395"/>
      <c r="D32" s="395"/>
      <c r="E32" s="395"/>
      <c r="F32" s="395"/>
      <c r="G32" s="395"/>
      <c r="H32" s="395"/>
      <c r="I32" s="395"/>
      <c r="J32" s="395"/>
      <c r="K32" s="395"/>
      <c r="L32" s="395"/>
      <c r="M32" s="395"/>
      <c r="N32" s="395"/>
      <c r="O32" s="396"/>
    </row>
    <row r="33" spans="1:15" ht="14" customHeight="1" x14ac:dyDescent="0.15">
      <c r="A33" s="394"/>
      <c r="B33" s="395"/>
      <c r="C33" s="395"/>
      <c r="D33" s="395"/>
      <c r="E33" s="395"/>
      <c r="F33" s="395"/>
      <c r="G33" s="395"/>
      <c r="H33" s="395"/>
      <c r="I33" s="395"/>
      <c r="J33" s="395"/>
      <c r="K33" s="395"/>
      <c r="L33" s="395"/>
      <c r="M33" s="395"/>
      <c r="N33" s="395"/>
      <c r="O33" s="396"/>
    </row>
    <row r="34" spans="1:15" ht="14" customHeight="1" x14ac:dyDescent="0.15">
      <c r="A34" s="394"/>
      <c r="B34" s="395"/>
      <c r="C34" s="395"/>
      <c r="D34" s="395"/>
      <c r="E34" s="395"/>
      <c r="F34" s="395"/>
      <c r="G34" s="395"/>
      <c r="H34" s="395"/>
      <c r="I34" s="395"/>
      <c r="J34" s="395"/>
      <c r="K34" s="395"/>
      <c r="L34" s="395"/>
      <c r="M34" s="395"/>
      <c r="N34" s="395"/>
      <c r="O34" s="396"/>
    </row>
    <row r="35" spans="1:15" ht="14" customHeight="1" x14ac:dyDescent="0.15">
      <c r="A35" s="394"/>
      <c r="B35" s="395"/>
      <c r="C35" s="395"/>
      <c r="D35" s="395"/>
      <c r="E35" s="395"/>
      <c r="F35" s="395"/>
      <c r="G35" s="395"/>
      <c r="H35" s="395"/>
      <c r="I35" s="395"/>
      <c r="J35" s="395"/>
      <c r="K35" s="395"/>
      <c r="L35" s="395"/>
      <c r="M35" s="395"/>
      <c r="N35" s="395"/>
      <c r="O35" s="396"/>
    </row>
    <row r="36" spans="1:15" ht="14" customHeight="1" x14ac:dyDescent="0.15">
      <c r="A36" s="394"/>
      <c r="B36" s="395"/>
      <c r="C36" s="395"/>
      <c r="D36" s="395"/>
      <c r="E36" s="395"/>
      <c r="F36" s="395"/>
      <c r="G36" s="395"/>
      <c r="H36" s="395"/>
      <c r="I36" s="395"/>
      <c r="J36" s="395"/>
      <c r="K36" s="395"/>
      <c r="L36" s="395"/>
      <c r="M36" s="395"/>
      <c r="N36" s="395"/>
      <c r="O36" s="396"/>
    </row>
    <row r="37" spans="1:15" ht="14" customHeight="1" x14ac:dyDescent="0.15">
      <c r="A37" s="394"/>
      <c r="B37" s="395"/>
      <c r="C37" s="395"/>
      <c r="D37" s="395"/>
      <c r="E37" s="395"/>
      <c r="F37" s="395"/>
      <c r="G37" s="395"/>
      <c r="H37" s="395"/>
      <c r="I37" s="395"/>
      <c r="J37" s="395"/>
      <c r="K37" s="395"/>
      <c r="L37" s="395"/>
      <c r="M37" s="395"/>
      <c r="N37" s="395"/>
      <c r="O37" s="396"/>
    </row>
    <row r="38" spans="1:15" ht="14" customHeight="1" x14ac:dyDescent="0.15">
      <c r="A38" s="394"/>
      <c r="B38" s="395"/>
      <c r="C38" s="395"/>
      <c r="D38" s="395"/>
      <c r="E38" s="395"/>
      <c r="F38" s="395"/>
      <c r="G38" s="395"/>
      <c r="H38" s="395"/>
      <c r="I38" s="395"/>
      <c r="J38" s="395"/>
      <c r="K38" s="395"/>
      <c r="L38" s="395"/>
      <c r="M38" s="395"/>
      <c r="N38" s="395"/>
      <c r="O38" s="396"/>
    </row>
    <row r="39" spans="1:15" ht="14" customHeight="1" x14ac:dyDescent="0.15">
      <c r="A39" s="394"/>
      <c r="B39" s="395"/>
      <c r="C39" s="395"/>
      <c r="D39" s="395"/>
      <c r="E39" s="395"/>
      <c r="F39" s="395"/>
      <c r="G39" s="395"/>
      <c r="H39" s="395"/>
      <c r="I39" s="395"/>
      <c r="J39" s="395"/>
      <c r="K39" s="395"/>
      <c r="L39" s="395"/>
      <c r="M39" s="395"/>
      <c r="N39" s="395"/>
      <c r="O39" s="396"/>
    </row>
    <row r="40" spans="1:15" ht="14" customHeight="1" x14ac:dyDescent="0.15">
      <c r="A40" s="394"/>
      <c r="B40" s="395"/>
      <c r="C40" s="395"/>
      <c r="D40" s="395"/>
      <c r="E40" s="395"/>
      <c r="F40" s="395"/>
      <c r="G40" s="395"/>
      <c r="H40" s="395"/>
      <c r="I40" s="395"/>
      <c r="J40" s="395"/>
      <c r="K40" s="395"/>
      <c r="L40" s="395"/>
      <c r="M40" s="395"/>
      <c r="N40" s="395"/>
      <c r="O40" s="396"/>
    </row>
    <row r="41" spans="1:15" ht="14" customHeight="1" x14ac:dyDescent="0.15">
      <c r="A41" s="394"/>
      <c r="B41" s="395"/>
      <c r="C41" s="395"/>
      <c r="D41" s="395"/>
      <c r="E41" s="395"/>
      <c r="F41" s="395"/>
      <c r="G41" s="395"/>
      <c r="H41" s="395"/>
      <c r="I41" s="395"/>
      <c r="J41" s="395"/>
      <c r="K41" s="395"/>
      <c r="L41" s="395"/>
      <c r="M41" s="395"/>
      <c r="N41" s="395"/>
      <c r="O41" s="396"/>
    </row>
    <row r="42" spans="1:15" ht="14" customHeight="1" x14ac:dyDescent="0.15">
      <c r="A42" s="394"/>
      <c r="B42" s="395"/>
      <c r="C42" s="395"/>
      <c r="D42" s="395"/>
      <c r="E42" s="395"/>
      <c r="F42" s="395"/>
      <c r="G42" s="395"/>
      <c r="H42" s="395"/>
      <c r="I42" s="395"/>
      <c r="J42" s="395"/>
      <c r="K42" s="395"/>
      <c r="L42" s="395"/>
      <c r="M42" s="395"/>
      <c r="N42" s="395"/>
      <c r="O42" s="396"/>
    </row>
    <row r="43" spans="1:15" ht="14" customHeight="1" x14ac:dyDescent="0.15">
      <c r="A43" s="394"/>
      <c r="B43" s="395"/>
      <c r="C43" s="395"/>
      <c r="D43" s="395"/>
      <c r="E43" s="395"/>
      <c r="F43" s="395"/>
      <c r="G43" s="395"/>
      <c r="H43" s="395"/>
      <c r="I43" s="395"/>
      <c r="J43" s="395"/>
      <c r="K43" s="395"/>
      <c r="L43" s="395"/>
      <c r="M43" s="395"/>
      <c r="N43" s="395"/>
      <c r="O43" s="396"/>
    </row>
    <row r="44" spans="1:15" ht="14" customHeight="1" x14ac:dyDescent="0.15">
      <c r="A44" s="394"/>
      <c r="B44" s="395"/>
      <c r="C44" s="395"/>
      <c r="D44" s="395"/>
      <c r="E44" s="395"/>
      <c r="F44" s="395"/>
      <c r="G44" s="395"/>
      <c r="H44" s="395"/>
      <c r="I44" s="395"/>
      <c r="J44" s="395"/>
      <c r="K44" s="395"/>
      <c r="L44" s="395"/>
      <c r="M44" s="395"/>
      <c r="N44" s="395"/>
      <c r="O44" s="396"/>
    </row>
    <row r="45" spans="1:15" ht="14" customHeight="1" x14ac:dyDescent="0.15">
      <c r="A45" s="394"/>
      <c r="B45" s="395"/>
      <c r="C45" s="395"/>
      <c r="D45" s="395"/>
      <c r="E45" s="395"/>
      <c r="F45" s="395"/>
      <c r="G45" s="395"/>
      <c r="H45" s="395"/>
      <c r="I45" s="395"/>
      <c r="J45" s="395"/>
      <c r="K45" s="395"/>
      <c r="L45" s="395"/>
      <c r="M45" s="395"/>
      <c r="N45" s="395"/>
      <c r="O45" s="396"/>
    </row>
    <row r="46" spans="1:15" ht="14" customHeight="1" x14ac:dyDescent="0.15">
      <c r="A46" s="394"/>
      <c r="B46" s="395"/>
      <c r="C46" s="395"/>
      <c r="D46" s="395"/>
      <c r="E46" s="395"/>
      <c r="F46" s="395"/>
      <c r="G46" s="395"/>
      <c r="H46" s="395"/>
      <c r="I46" s="395"/>
      <c r="J46" s="395"/>
      <c r="K46" s="395"/>
      <c r="L46" s="395"/>
      <c r="M46" s="395"/>
      <c r="N46" s="395"/>
      <c r="O46" s="396"/>
    </row>
    <row r="47" spans="1:15" ht="14" customHeight="1" x14ac:dyDescent="0.15">
      <c r="A47" s="394"/>
      <c r="B47" s="395"/>
      <c r="C47" s="395"/>
      <c r="D47" s="395"/>
      <c r="E47" s="395"/>
      <c r="F47" s="395"/>
      <c r="G47" s="395"/>
      <c r="H47" s="395"/>
      <c r="I47" s="395"/>
      <c r="J47" s="395"/>
      <c r="K47" s="395"/>
      <c r="L47" s="395"/>
      <c r="M47" s="395"/>
      <c r="N47" s="395"/>
      <c r="O47" s="396"/>
    </row>
    <row r="48" spans="1:15" ht="14" customHeight="1" x14ac:dyDescent="0.15">
      <c r="A48" s="394"/>
      <c r="B48" s="395"/>
      <c r="C48" s="395"/>
      <c r="D48" s="395"/>
      <c r="E48" s="395"/>
      <c r="F48" s="395"/>
      <c r="G48" s="395"/>
      <c r="H48" s="395"/>
      <c r="I48" s="395"/>
      <c r="J48" s="395"/>
      <c r="K48" s="395"/>
      <c r="L48" s="395"/>
      <c r="M48" s="395"/>
      <c r="N48" s="395"/>
      <c r="O48" s="396"/>
    </row>
    <row r="49" spans="1:15" ht="14" customHeight="1" x14ac:dyDescent="0.15">
      <c r="A49" s="394"/>
      <c r="B49" s="395"/>
      <c r="C49" s="395"/>
      <c r="D49" s="395"/>
      <c r="E49" s="395"/>
      <c r="F49" s="395"/>
      <c r="G49" s="395"/>
      <c r="H49" s="395"/>
      <c r="I49" s="395"/>
      <c r="J49" s="395"/>
      <c r="K49" s="395"/>
      <c r="L49" s="395"/>
      <c r="M49" s="395"/>
      <c r="N49" s="395"/>
      <c r="O49" s="396"/>
    </row>
    <row r="50" spans="1:15" ht="14" customHeight="1" x14ac:dyDescent="0.15">
      <c r="A50" s="394"/>
      <c r="B50" s="395"/>
      <c r="C50" s="395"/>
      <c r="D50" s="395"/>
      <c r="E50" s="395"/>
      <c r="F50" s="395"/>
      <c r="G50" s="395"/>
      <c r="H50" s="395"/>
      <c r="I50" s="395"/>
      <c r="J50" s="395"/>
      <c r="K50" s="395"/>
      <c r="L50" s="395"/>
      <c r="M50" s="395"/>
      <c r="N50" s="395"/>
      <c r="O50" s="396"/>
    </row>
    <row r="51" spans="1:15" ht="14" customHeight="1" x14ac:dyDescent="0.15">
      <c r="A51" s="397"/>
      <c r="B51" s="398"/>
      <c r="C51" s="398"/>
      <c r="D51" s="398"/>
      <c r="E51" s="398"/>
      <c r="F51" s="398"/>
      <c r="G51" s="398"/>
      <c r="H51" s="398"/>
      <c r="I51" s="398"/>
      <c r="J51" s="398"/>
      <c r="K51" s="398"/>
      <c r="L51" s="398"/>
      <c r="M51" s="398"/>
      <c r="N51" s="398"/>
      <c r="O51" s="399"/>
    </row>
  </sheetData>
  <pageMargins left="1" right="1" top="1" bottom="1" header="0.25" footer="0.25"/>
  <pageSetup orientation="portrait"/>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4</vt:i4>
      </vt:variant>
    </vt:vector>
  </HeadingPairs>
  <TitlesOfParts>
    <vt:vector size="4" baseType="lpstr">
      <vt:lpstr>KW-Tablea für EnSimiMaV</vt:lpstr>
      <vt:lpstr>Beispiel 1 komplett</vt:lpstr>
      <vt:lpstr>Beispiel 2 komplett</vt:lpstr>
      <vt:lpstr>Bericht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Uli Nissen</cp:lastModifiedBy>
  <dcterms:modified xsi:type="dcterms:W3CDTF">2022-09-06T14:47:14Z</dcterms:modified>
</cp:coreProperties>
</file>